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Elina\Google Drive\YHTEINEN KANSIO\KOORDINAATTORI _ MAARIT\Tilastot\Tilastopohjat 2018\"/>
    </mc:Choice>
  </mc:AlternateContent>
  <bookViews>
    <workbookView xWindow="0" yWindow="0" windowWidth="28800" windowHeight="11610" tabRatio="606" activeTab="2"/>
  </bookViews>
  <sheets>
    <sheet name="TOIMINTATIETOLOMAKE" sheetId="4" r:id="rId1"/>
    <sheet name="PERUSTIETOLOMAKE" sheetId="2" r:id="rId2"/>
    <sheet name="YHTEENVETO koko toiminta" sheetId="1" r:id="rId3"/>
    <sheet name="VUOSIKELLO" sheetId="6" r:id="rId4"/>
    <sheet name="OHJEET JA MÄÄRITELMÄT" sheetId="8" r:id="rId5"/>
  </sheets>
  <definedNames>
    <definedName name="_GoBack" localSheetId="4">'OHJEET JA MÄÄRITELMÄT'!$A$242</definedName>
    <definedName name="ListBoxOutput">'YHTEENVETO koko toiminta'!$J$102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O9" i="4" l="1"/>
  <c r="S9" i="4"/>
  <c r="T9" i="4" s="1"/>
  <c r="S4" i="4" l="1"/>
  <c r="T4" i="4" s="1"/>
  <c r="O4" i="4"/>
  <c r="K24" i="1"/>
  <c r="J24" i="1"/>
  <c r="I24" i="1"/>
  <c r="H24" i="1"/>
  <c r="G24" i="1"/>
  <c r="F24" i="1"/>
  <c r="E24" i="1"/>
  <c r="D24" i="1"/>
  <c r="C24" i="1"/>
  <c r="B24" i="1"/>
  <c r="K36" i="1"/>
  <c r="J36" i="1"/>
  <c r="I36" i="1"/>
  <c r="H36" i="1"/>
  <c r="G36" i="1"/>
  <c r="F36" i="1"/>
  <c r="E36" i="1"/>
  <c r="D36" i="1"/>
  <c r="C36" i="1"/>
  <c r="B36" i="1"/>
  <c r="H2" i="1"/>
  <c r="G2" i="1"/>
  <c r="B2" i="1"/>
  <c r="S3" i="4" l="1"/>
  <c r="S5" i="4"/>
  <c r="S6" i="4"/>
  <c r="S7" i="4"/>
  <c r="S8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O3" i="4"/>
  <c r="O5" i="4"/>
  <c r="O6" i="4"/>
  <c r="O7" i="4"/>
  <c r="O8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I2" i="1" l="1"/>
  <c r="S68" i="4"/>
  <c r="O68" i="4"/>
  <c r="T5" i="4"/>
  <c r="T6" i="4"/>
  <c r="T8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35" i="4"/>
  <c r="T3" i="4" l="1"/>
  <c r="T7" i="4"/>
  <c r="B68" i="4"/>
  <c r="N68" i="4"/>
  <c r="Q68" i="4"/>
  <c r="P68" i="4"/>
  <c r="R68" i="4"/>
  <c r="L36" i="1" l="1"/>
  <c r="L24" i="1"/>
  <c r="K48" i="1"/>
  <c r="K47" i="1"/>
  <c r="J48" i="1"/>
  <c r="J47" i="1"/>
  <c r="I48" i="1"/>
  <c r="I47" i="1"/>
  <c r="H48" i="1"/>
  <c r="H47" i="1"/>
  <c r="G48" i="1"/>
  <c r="G47" i="1"/>
  <c r="F48" i="1"/>
  <c r="F47" i="1"/>
  <c r="E48" i="1"/>
  <c r="E47" i="1"/>
  <c r="D48" i="1"/>
  <c r="D47" i="1"/>
  <c r="B48" i="1"/>
  <c r="B47" i="1"/>
  <c r="K50" i="1"/>
  <c r="J50" i="1"/>
  <c r="I50" i="1"/>
  <c r="H50" i="1"/>
  <c r="H49" i="1"/>
  <c r="G50" i="1"/>
  <c r="G49" i="1"/>
  <c r="F50" i="1"/>
  <c r="F49" i="1"/>
  <c r="E50" i="1"/>
  <c r="D49" i="1"/>
  <c r="D50" i="1"/>
  <c r="B50" i="1"/>
  <c r="B49" i="1"/>
  <c r="B46" i="1"/>
  <c r="J6" i="1" l="1"/>
  <c r="D6" i="1"/>
  <c r="D5" i="1"/>
  <c r="J4" i="1"/>
  <c r="I6" i="1"/>
  <c r="H6" i="1"/>
  <c r="H5" i="1"/>
  <c r="I4" i="1"/>
  <c r="H4" i="1"/>
  <c r="G4" i="1"/>
  <c r="G6" i="1"/>
  <c r="G5" i="1"/>
  <c r="F6" i="1"/>
  <c r="F5" i="1"/>
  <c r="F4" i="1"/>
  <c r="B4" i="1"/>
  <c r="B5" i="1"/>
  <c r="D101" i="1"/>
  <c r="D100" i="1"/>
  <c r="D4" i="1"/>
  <c r="E6" i="1"/>
  <c r="E4" i="1"/>
  <c r="K4" i="1"/>
  <c r="K6" i="1"/>
  <c r="K100" i="1"/>
  <c r="D17" i="1"/>
  <c r="D76" i="1"/>
  <c r="B86" i="1"/>
  <c r="B88" i="1"/>
  <c r="B6" i="1"/>
  <c r="B90" i="1"/>
  <c r="B80" i="1"/>
  <c r="K35" i="1" l="1"/>
  <c r="K34" i="1"/>
  <c r="K33" i="1"/>
  <c r="K32" i="1"/>
  <c r="K31" i="1"/>
  <c r="K28" i="1"/>
  <c r="K26" i="1"/>
  <c r="J35" i="1"/>
  <c r="J34" i="1"/>
  <c r="J33" i="1"/>
  <c r="J32" i="1"/>
  <c r="J31" i="1"/>
  <c r="J29" i="1"/>
  <c r="J28" i="1"/>
  <c r="J27" i="1"/>
  <c r="J26" i="1"/>
  <c r="I35" i="1"/>
  <c r="I34" i="1"/>
  <c r="I33" i="1"/>
  <c r="I32" i="1"/>
  <c r="I31" i="1"/>
  <c r="I29" i="1"/>
  <c r="I28" i="1"/>
  <c r="I27" i="1"/>
  <c r="I26" i="1"/>
  <c r="D16" i="1"/>
  <c r="D28" i="1"/>
  <c r="H35" i="1"/>
  <c r="H34" i="1"/>
  <c r="H33" i="1"/>
  <c r="H32" i="1"/>
  <c r="H31" i="1"/>
  <c r="H30" i="1"/>
  <c r="H29" i="1"/>
  <c r="H28" i="1"/>
  <c r="H27" i="1"/>
  <c r="H26" i="1"/>
  <c r="G35" i="1"/>
  <c r="G34" i="1"/>
  <c r="G33" i="1"/>
  <c r="G32" i="1"/>
  <c r="G31" i="1"/>
  <c r="G30" i="1"/>
  <c r="G29" i="1"/>
  <c r="G28" i="1"/>
  <c r="G27" i="1"/>
  <c r="G26" i="1"/>
  <c r="F35" i="1"/>
  <c r="F34" i="1"/>
  <c r="F33" i="1"/>
  <c r="F32" i="1"/>
  <c r="F31" i="1"/>
  <c r="F30" i="1"/>
  <c r="F29" i="1"/>
  <c r="F28" i="1"/>
  <c r="F27" i="1"/>
  <c r="F26" i="1"/>
  <c r="E35" i="1"/>
  <c r="E34" i="1"/>
  <c r="E33" i="1"/>
  <c r="E32" i="1"/>
  <c r="E31" i="1"/>
  <c r="E28" i="1"/>
  <c r="E26" i="1"/>
  <c r="D35" i="1"/>
  <c r="D34" i="1"/>
  <c r="D33" i="1"/>
  <c r="D32" i="1"/>
  <c r="D31" i="1"/>
  <c r="D30" i="1"/>
  <c r="D29" i="1"/>
  <c r="D27" i="1"/>
  <c r="D26" i="1"/>
  <c r="B15" i="1"/>
  <c r="B35" i="1"/>
  <c r="B34" i="1"/>
  <c r="B33" i="1"/>
  <c r="B32" i="1"/>
  <c r="B31" i="1"/>
  <c r="B30" i="1"/>
  <c r="B29" i="1"/>
  <c r="B28" i="1"/>
  <c r="B27" i="1"/>
  <c r="B26" i="1"/>
  <c r="B38" i="1"/>
  <c r="D38" i="1"/>
  <c r="E38" i="1"/>
  <c r="F38" i="1"/>
  <c r="G38" i="1"/>
  <c r="H38" i="1"/>
  <c r="I38" i="1"/>
  <c r="J38" i="1"/>
  <c r="K38" i="1"/>
  <c r="B39" i="1"/>
  <c r="D39" i="1"/>
  <c r="F39" i="1"/>
  <c r="G39" i="1"/>
  <c r="H39" i="1"/>
  <c r="B40" i="1"/>
  <c r="D40" i="1"/>
  <c r="E40" i="1"/>
  <c r="F40" i="1"/>
  <c r="G40" i="1"/>
  <c r="H40" i="1"/>
  <c r="I40" i="1"/>
  <c r="J40" i="1"/>
  <c r="K40" i="1"/>
  <c r="B41" i="1"/>
  <c r="D41" i="1"/>
  <c r="E41" i="1"/>
  <c r="F41" i="1"/>
  <c r="G41" i="1"/>
  <c r="H41" i="1"/>
  <c r="I41" i="1"/>
  <c r="J41" i="1"/>
  <c r="K41" i="1"/>
  <c r="B42" i="1"/>
  <c r="D42" i="1"/>
  <c r="E42" i="1"/>
  <c r="F42" i="1"/>
  <c r="G42" i="1"/>
  <c r="H42" i="1"/>
  <c r="I42" i="1"/>
  <c r="J42" i="1"/>
  <c r="K42" i="1"/>
  <c r="B43" i="1"/>
  <c r="D43" i="1"/>
  <c r="E43" i="1"/>
  <c r="F43" i="1"/>
  <c r="G43" i="1"/>
  <c r="H43" i="1"/>
  <c r="I43" i="1"/>
  <c r="J43" i="1"/>
  <c r="K43" i="1"/>
  <c r="B44" i="1"/>
  <c r="D44" i="1"/>
  <c r="E44" i="1"/>
  <c r="F44" i="1"/>
  <c r="G44" i="1"/>
  <c r="H44" i="1"/>
  <c r="I44" i="1"/>
  <c r="J44" i="1"/>
  <c r="D46" i="1"/>
  <c r="E46" i="1"/>
  <c r="F46" i="1"/>
  <c r="G46" i="1"/>
  <c r="H46" i="1"/>
  <c r="I46" i="1"/>
  <c r="J46" i="1"/>
  <c r="K46" i="1"/>
  <c r="B14" i="1"/>
  <c r="D14" i="1"/>
  <c r="D15" i="1"/>
  <c r="E29" i="1"/>
  <c r="B16" i="1"/>
  <c r="E27" i="1" l="1"/>
  <c r="B84" i="1"/>
  <c r="B83" i="1"/>
  <c r="K10" i="1"/>
  <c r="J10" i="1"/>
  <c r="I10" i="1"/>
  <c r="H11" i="1"/>
  <c r="H10" i="1"/>
  <c r="G11" i="1"/>
  <c r="G10" i="1"/>
  <c r="F11" i="1"/>
  <c r="F10" i="1"/>
  <c r="E10" i="1"/>
  <c r="D11" i="1"/>
  <c r="D10" i="1"/>
  <c r="K12" i="1"/>
  <c r="J12" i="1"/>
  <c r="I12" i="1"/>
  <c r="H12" i="1"/>
  <c r="G12" i="1"/>
  <c r="F12" i="1"/>
  <c r="E12" i="1"/>
  <c r="D12" i="1"/>
  <c r="B12" i="1"/>
  <c r="B11" i="1"/>
  <c r="B10" i="1"/>
  <c r="K21" i="1"/>
  <c r="J21" i="1"/>
  <c r="I21" i="1"/>
  <c r="H22" i="1"/>
  <c r="H21" i="1"/>
  <c r="G22" i="1"/>
  <c r="G21" i="1"/>
  <c r="F22" i="1"/>
  <c r="F21" i="1"/>
  <c r="E23" i="1"/>
  <c r="K23" i="1"/>
  <c r="I23" i="1"/>
  <c r="J23" i="1"/>
  <c r="H23" i="1"/>
  <c r="G23" i="1"/>
  <c r="F23" i="1"/>
  <c r="D23" i="1"/>
  <c r="B23" i="1"/>
  <c r="D22" i="1"/>
  <c r="D21" i="1"/>
  <c r="B22" i="1"/>
  <c r="B21" i="1"/>
  <c r="B89" i="1" l="1"/>
  <c r="K98" i="1" l="1"/>
  <c r="K97" i="1"/>
  <c r="K96" i="1"/>
  <c r="K95" i="1"/>
  <c r="K99" i="1"/>
  <c r="K101" i="1"/>
  <c r="K94" i="1"/>
  <c r="K90" i="1"/>
  <c r="J101" i="1"/>
  <c r="J100" i="1"/>
  <c r="J99" i="1"/>
  <c r="J98" i="1"/>
  <c r="J97" i="1"/>
  <c r="J96" i="1"/>
  <c r="J95" i="1"/>
  <c r="J94" i="1"/>
  <c r="J90" i="1"/>
  <c r="I101" i="1"/>
  <c r="I100" i="1"/>
  <c r="I99" i="1"/>
  <c r="I98" i="1"/>
  <c r="I97" i="1"/>
  <c r="I96" i="1"/>
  <c r="I95" i="1"/>
  <c r="I94" i="1"/>
  <c r="I90" i="1"/>
  <c r="H101" i="1"/>
  <c r="H100" i="1"/>
  <c r="H99" i="1"/>
  <c r="H98" i="1"/>
  <c r="H97" i="1"/>
  <c r="H96" i="1"/>
  <c r="H95" i="1"/>
  <c r="H94" i="1"/>
  <c r="H93" i="1"/>
  <c r="H92" i="1"/>
  <c r="H91" i="1"/>
  <c r="H90" i="1"/>
  <c r="G101" i="1"/>
  <c r="G100" i="1"/>
  <c r="G99" i="1"/>
  <c r="G98" i="1"/>
  <c r="G97" i="1"/>
  <c r="G96" i="1"/>
  <c r="G95" i="1"/>
  <c r="G94" i="1"/>
  <c r="G93" i="1"/>
  <c r="G92" i="1"/>
  <c r="G91" i="1"/>
  <c r="G90" i="1"/>
  <c r="H89" i="1"/>
  <c r="G89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E101" i="1"/>
  <c r="E100" i="1"/>
  <c r="E99" i="1"/>
  <c r="E98" i="1"/>
  <c r="E97" i="1"/>
  <c r="E96" i="1"/>
  <c r="E95" i="1"/>
  <c r="E94" i="1"/>
  <c r="E93" i="1"/>
  <c r="E90" i="1"/>
  <c r="D99" i="1"/>
  <c r="D98" i="1"/>
  <c r="D97" i="1"/>
  <c r="D96" i="1"/>
  <c r="D95" i="1"/>
  <c r="D94" i="1"/>
  <c r="D93" i="1"/>
  <c r="D92" i="1"/>
  <c r="D91" i="1"/>
  <c r="D90" i="1"/>
  <c r="D89" i="1"/>
  <c r="C89" i="1"/>
  <c r="C101" i="1"/>
  <c r="C100" i="1"/>
  <c r="C99" i="1"/>
  <c r="C98" i="1"/>
  <c r="C97" i="1"/>
  <c r="C96" i="1"/>
  <c r="C95" i="1"/>
  <c r="C94" i="1"/>
  <c r="C93" i="1"/>
  <c r="C92" i="1"/>
  <c r="C91" i="1"/>
  <c r="C90" i="1"/>
  <c r="B101" i="1"/>
  <c r="B100" i="1"/>
  <c r="B99" i="1"/>
  <c r="B98" i="1"/>
  <c r="B97" i="1"/>
  <c r="B96" i="1"/>
  <c r="B95" i="1"/>
  <c r="B94" i="1"/>
  <c r="B93" i="1"/>
  <c r="B92" i="1"/>
  <c r="B91" i="1"/>
  <c r="H88" i="1"/>
  <c r="G88" i="1"/>
  <c r="F88" i="1"/>
  <c r="D88" i="1"/>
  <c r="K86" i="1"/>
  <c r="K85" i="1"/>
  <c r="K84" i="1"/>
  <c r="K83" i="1"/>
  <c r="K82" i="1"/>
  <c r="K81" i="1"/>
  <c r="K79" i="1"/>
  <c r="J86" i="1"/>
  <c r="J85" i="1"/>
  <c r="J84" i="1"/>
  <c r="J83" i="1"/>
  <c r="J82" i="1"/>
  <c r="J81" i="1"/>
  <c r="J79" i="1"/>
  <c r="I86" i="1"/>
  <c r="I85" i="1"/>
  <c r="I84" i="1"/>
  <c r="I83" i="1"/>
  <c r="I82" i="1"/>
  <c r="I81" i="1"/>
  <c r="I79" i="1"/>
  <c r="H85" i="1"/>
  <c r="H84" i="1"/>
  <c r="H83" i="1"/>
  <c r="H86" i="1"/>
  <c r="H82" i="1"/>
  <c r="H81" i="1"/>
  <c r="H80" i="1"/>
  <c r="H79" i="1"/>
  <c r="G86" i="1"/>
  <c r="G85" i="1"/>
  <c r="G84" i="1"/>
  <c r="G83" i="1"/>
  <c r="G82" i="1"/>
  <c r="G81" i="1"/>
  <c r="G80" i="1"/>
  <c r="G79" i="1"/>
  <c r="F86" i="1"/>
  <c r="F85" i="1"/>
  <c r="F84" i="1"/>
  <c r="F83" i="1"/>
  <c r="F82" i="1"/>
  <c r="F81" i="1"/>
  <c r="F80" i="1"/>
  <c r="F79" i="1"/>
  <c r="E86" i="1"/>
  <c r="E85" i="1"/>
  <c r="E84" i="1"/>
  <c r="E83" i="1"/>
  <c r="E82" i="1"/>
  <c r="E81" i="1"/>
  <c r="E79" i="1"/>
  <c r="D86" i="1"/>
  <c r="D85" i="1"/>
  <c r="D84" i="1"/>
  <c r="D83" i="1"/>
  <c r="D82" i="1"/>
  <c r="D81" i="1"/>
  <c r="D80" i="1"/>
  <c r="D79" i="1"/>
  <c r="B85" i="1"/>
  <c r="B82" i="1"/>
  <c r="B81" i="1"/>
  <c r="B79" i="1"/>
  <c r="K77" i="1" l="1"/>
  <c r="J77" i="1"/>
  <c r="I77" i="1"/>
  <c r="H77" i="1"/>
  <c r="G77" i="1"/>
  <c r="F77" i="1"/>
  <c r="E77" i="1"/>
  <c r="D77" i="1"/>
  <c r="B77" i="1"/>
  <c r="H76" i="1"/>
  <c r="G76" i="1"/>
  <c r="F76" i="1"/>
  <c r="B76" i="1"/>
  <c r="K75" i="1"/>
  <c r="J75" i="1"/>
  <c r="I75" i="1"/>
  <c r="H75" i="1"/>
  <c r="G75" i="1"/>
  <c r="F75" i="1"/>
  <c r="E75" i="1"/>
  <c r="D75" i="1"/>
  <c r="B75" i="1"/>
  <c r="K74" i="1"/>
  <c r="J74" i="1"/>
  <c r="I74" i="1"/>
  <c r="H74" i="1"/>
  <c r="G74" i="1"/>
  <c r="F74" i="1"/>
  <c r="E74" i="1"/>
  <c r="D74" i="1"/>
  <c r="B74" i="1"/>
  <c r="K73" i="1"/>
  <c r="J73" i="1"/>
  <c r="I73" i="1"/>
  <c r="H73" i="1"/>
  <c r="G73" i="1"/>
  <c r="F73" i="1"/>
  <c r="E73" i="1"/>
  <c r="D73" i="1"/>
  <c r="B73" i="1"/>
  <c r="K72" i="1"/>
  <c r="J72" i="1"/>
  <c r="I72" i="1"/>
  <c r="H72" i="1"/>
  <c r="G72" i="1"/>
  <c r="F72" i="1"/>
  <c r="E72" i="1"/>
  <c r="D72" i="1"/>
  <c r="B72" i="1"/>
  <c r="K71" i="1"/>
  <c r="J71" i="1"/>
  <c r="I71" i="1"/>
  <c r="H71" i="1"/>
  <c r="G71" i="1"/>
  <c r="F71" i="1"/>
  <c r="E71" i="1"/>
  <c r="D71" i="1"/>
  <c r="B71" i="1"/>
  <c r="H70" i="1"/>
  <c r="G70" i="1"/>
  <c r="F70" i="1"/>
  <c r="D70" i="1"/>
  <c r="B70" i="1"/>
  <c r="K68" i="1"/>
  <c r="J68" i="1"/>
  <c r="I68" i="1"/>
  <c r="H68" i="1"/>
  <c r="G68" i="1"/>
  <c r="F68" i="1"/>
  <c r="E68" i="1"/>
  <c r="D68" i="1"/>
  <c r="B68" i="1"/>
  <c r="K67" i="1"/>
  <c r="J67" i="1"/>
  <c r="I67" i="1"/>
  <c r="H67" i="1"/>
  <c r="G67" i="1"/>
  <c r="F67" i="1"/>
  <c r="E67" i="1"/>
  <c r="D67" i="1"/>
  <c r="B67" i="1"/>
  <c r="K66" i="1"/>
  <c r="H66" i="1"/>
  <c r="G66" i="1"/>
  <c r="F66" i="1"/>
  <c r="D66" i="1"/>
  <c r="B66" i="1"/>
  <c r="K64" i="1"/>
  <c r="J64" i="1"/>
  <c r="I64" i="1"/>
  <c r="H64" i="1"/>
  <c r="G64" i="1"/>
  <c r="F64" i="1"/>
  <c r="E64" i="1"/>
  <c r="D64" i="1"/>
  <c r="B64" i="1"/>
  <c r="K63" i="1"/>
  <c r="J63" i="1"/>
  <c r="I63" i="1"/>
  <c r="H63" i="1"/>
  <c r="G63" i="1"/>
  <c r="F63" i="1"/>
  <c r="E63" i="1"/>
  <c r="D63" i="1"/>
  <c r="B63" i="1"/>
  <c r="K62" i="1"/>
  <c r="J62" i="1"/>
  <c r="I62" i="1"/>
  <c r="H62" i="1"/>
  <c r="G62" i="1"/>
  <c r="F62" i="1"/>
  <c r="E62" i="1"/>
  <c r="D62" i="1"/>
  <c r="B62" i="1"/>
  <c r="K61" i="1"/>
  <c r="J61" i="1"/>
  <c r="I61" i="1"/>
  <c r="H61" i="1"/>
  <c r="G61" i="1"/>
  <c r="F61" i="1"/>
  <c r="E61" i="1"/>
  <c r="D61" i="1"/>
  <c r="B61" i="1"/>
  <c r="K60" i="1"/>
  <c r="J60" i="1"/>
  <c r="I60" i="1"/>
  <c r="H60" i="1"/>
  <c r="G60" i="1"/>
  <c r="F60" i="1"/>
  <c r="E60" i="1"/>
  <c r="D60" i="1"/>
  <c r="B60" i="1"/>
  <c r="K59" i="1"/>
  <c r="J59" i="1"/>
  <c r="I59" i="1"/>
  <c r="H59" i="1"/>
  <c r="G59" i="1"/>
  <c r="F59" i="1"/>
  <c r="E59" i="1"/>
  <c r="D59" i="1"/>
  <c r="B59" i="1"/>
  <c r="K58" i="1"/>
  <c r="J58" i="1"/>
  <c r="I58" i="1"/>
  <c r="H58" i="1"/>
  <c r="G58" i="1"/>
  <c r="F58" i="1"/>
  <c r="E58" i="1"/>
  <c r="D58" i="1"/>
  <c r="B58" i="1"/>
  <c r="K57" i="1"/>
  <c r="J57" i="1"/>
  <c r="I57" i="1"/>
  <c r="H57" i="1"/>
  <c r="G57" i="1"/>
  <c r="F57" i="1"/>
  <c r="E57" i="1"/>
  <c r="D57" i="1"/>
  <c r="B57" i="1"/>
  <c r="H56" i="1"/>
  <c r="G56" i="1"/>
  <c r="F56" i="1"/>
  <c r="D56" i="1"/>
  <c r="B56" i="1"/>
  <c r="H55" i="1"/>
  <c r="G55" i="1"/>
  <c r="F55" i="1"/>
  <c r="D55" i="1"/>
  <c r="B55" i="1"/>
  <c r="H54" i="1"/>
  <c r="G54" i="1"/>
  <c r="F54" i="1"/>
  <c r="D54" i="1"/>
  <c r="B54" i="1"/>
  <c r="K53" i="1"/>
  <c r="J53" i="1"/>
  <c r="I53" i="1"/>
  <c r="H53" i="1"/>
  <c r="G53" i="1"/>
  <c r="F53" i="1"/>
  <c r="E53" i="1"/>
  <c r="D53" i="1"/>
  <c r="B53" i="1"/>
  <c r="H52" i="1"/>
  <c r="G52" i="1"/>
  <c r="F52" i="1"/>
  <c r="D52" i="1"/>
  <c r="B52" i="1"/>
  <c r="E21" i="1"/>
  <c r="K20" i="1"/>
  <c r="J20" i="1"/>
  <c r="I20" i="1"/>
  <c r="H20" i="1"/>
  <c r="G20" i="1"/>
  <c r="F20" i="1"/>
  <c r="E20" i="1"/>
  <c r="D20" i="1"/>
  <c r="B20" i="1"/>
  <c r="J19" i="1"/>
  <c r="I19" i="1"/>
  <c r="H19" i="1"/>
  <c r="G19" i="1"/>
  <c r="F19" i="1"/>
  <c r="E19" i="1"/>
  <c r="D19" i="1"/>
  <c r="B19" i="1"/>
  <c r="H18" i="1"/>
  <c r="G18" i="1"/>
  <c r="F18" i="1"/>
  <c r="D18" i="1"/>
  <c r="B18" i="1"/>
  <c r="K17" i="1"/>
  <c r="J17" i="1"/>
  <c r="I17" i="1"/>
  <c r="H17" i="1"/>
  <c r="G17" i="1"/>
  <c r="F17" i="1"/>
  <c r="E17" i="1"/>
  <c r="B17" i="1"/>
  <c r="H16" i="1"/>
  <c r="G16" i="1"/>
  <c r="F16" i="1"/>
  <c r="H15" i="1"/>
  <c r="G15" i="1"/>
  <c r="F15" i="1"/>
  <c r="H14" i="1"/>
  <c r="G14" i="1"/>
  <c r="F14" i="1"/>
  <c r="H9" i="1"/>
  <c r="G9" i="1"/>
  <c r="F9" i="1"/>
  <c r="D9" i="1"/>
  <c r="B9" i="1"/>
  <c r="K8" i="1"/>
  <c r="J8" i="1"/>
  <c r="I8" i="1"/>
  <c r="H8" i="1"/>
  <c r="G8" i="1"/>
  <c r="F8" i="1"/>
  <c r="E8" i="1"/>
  <c r="D8" i="1"/>
  <c r="B8" i="1"/>
  <c r="E91" i="1"/>
  <c r="E89" i="1" l="1"/>
  <c r="E22" i="1"/>
  <c r="I22" i="1"/>
  <c r="J22" i="1"/>
  <c r="E70" i="1"/>
  <c r="I93" i="1"/>
  <c r="J93" i="1"/>
  <c r="J91" i="1"/>
  <c r="I91" i="1"/>
  <c r="E92" i="1"/>
  <c r="E54" i="1"/>
  <c r="J52" i="1"/>
  <c r="I89" i="1"/>
  <c r="J89" i="1"/>
  <c r="J92" i="1"/>
  <c r="I92" i="1"/>
  <c r="E55" i="1"/>
  <c r="K55" i="1"/>
  <c r="I54" i="1"/>
  <c r="E88" i="1"/>
  <c r="E9" i="1"/>
  <c r="E52" i="1"/>
  <c r="I55" i="1"/>
  <c r="J55" i="1"/>
  <c r="J54" i="1"/>
  <c r="I52" i="1"/>
  <c r="I9" i="1"/>
  <c r="I88" i="1"/>
  <c r="J88" i="1"/>
  <c r="J9" i="1"/>
  <c r="E16" i="1"/>
  <c r="I18" i="1"/>
  <c r="E15" i="1"/>
  <c r="E18" i="1"/>
  <c r="J16" i="1"/>
  <c r="J18" i="1"/>
  <c r="I16" i="1"/>
  <c r="I15" i="1"/>
  <c r="J15" i="1"/>
  <c r="K22" i="1" l="1"/>
  <c r="K93" i="1"/>
  <c r="K19" i="1"/>
  <c r="K52" i="1"/>
  <c r="L101" i="1"/>
  <c r="L97" i="1"/>
  <c r="L93" i="1"/>
  <c r="L89" i="1"/>
  <c r="L100" i="1"/>
  <c r="K88" i="1"/>
  <c r="L99" i="1"/>
  <c r="L95" i="1"/>
  <c r="K89" i="1"/>
  <c r="L98" i="1"/>
  <c r="L94" i="1"/>
  <c r="L90" i="1"/>
  <c r="L96" i="1"/>
  <c r="K92" i="1"/>
  <c r="L92" i="1"/>
  <c r="K54" i="1"/>
  <c r="K91" i="1"/>
  <c r="L91" i="1"/>
  <c r="K9" i="1"/>
  <c r="K15" i="1"/>
  <c r="J70" i="1"/>
  <c r="I70" i="1"/>
  <c r="K18" i="1" l="1"/>
  <c r="K29" i="1"/>
  <c r="K27" i="1"/>
  <c r="K16" i="1"/>
  <c r="K70" i="1"/>
  <c r="F2" i="1"/>
  <c r="D2" i="1"/>
  <c r="C86" i="1"/>
  <c r="C50" i="1"/>
  <c r="C77" i="1"/>
  <c r="C71" i="1"/>
  <c r="C42" i="1"/>
  <c r="C26" i="1"/>
  <c r="C27" i="1"/>
  <c r="C39" i="1"/>
  <c r="C32" i="1"/>
  <c r="C46" i="1"/>
  <c r="C29" i="1"/>
  <c r="C79" i="1"/>
  <c r="C68" i="1"/>
  <c r="C43" i="1"/>
  <c r="C47" i="1"/>
  <c r="C83" i="1"/>
  <c r="C17" i="1"/>
  <c r="C8" i="1"/>
  <c r="C67" i="1"/>
  <c r="C15" i="1"/>
  <c r="C54" i="1"/>
  <c r="C59" i="1"/>
  <c r="C2" i="1"/>
  <c r="C6" i="1"/>
  <c r="C73" i="1"/>
  <c r="C74" i="1"/>
  <c r="C82" i="1"/>
  <c r="C38" i="1"/>
  <c r="C34" i="1"/>
  <c r="C88" i="1"/>
  <c r="C14" i="1"/>
  <c r="C28" i="1"/>
  <c r="C53" i="1"/>
  <c r="C30" i="1"/>
  <c r="C60" i="1"/>
  <c r="C70" i="1"/>
  <c r="C21" i="1"/>
  <c r="C57" i="1"/>
  <c r="C55" i="1"/>
  <c r="C62" i="1"/>
  <c r="C12" i="1"/>
  <c r="C56" i="1"/>
  <c r="C5" i="1"/>
  <c r="C41" i="1"/>
  <c r="C33" i="1"/>
  <c r="C48" i="1"/>
  <c r="C18" i="1"/>
  <c r="C85" i="1"/>
  <c r="C84" i="1"/>
  <c r="C11" i="1"/>
  <c r="C63" i="1"/>
  <c r="C9" i="1"/>
  <c r="C72" i="1"/>
  <c r="C49" i="1"/>
  <c r="C31" i="1"/>
  <c r="C40" i="1"/>
  <c r="C22" i="1"/>
  <c r="C75" i="1"/>
  <c r="C76" i="1"/>
  <c r="C35" i="1"/>
  <c r="C10" i="1"/>
  <c r="C20" i="1"/>
  <c r="C44" i="1"/>
  <c r="C66" i="1"/>
  <c r="C81" i="1"/>
  <c r="C23" i="1"/>
  <c r="C52" i="1"/>
  <c r="C16" i="1"/>
  <c r="C58" i="1"/>
  <c r="C64" i="1"/>
  <c r="C61" i="1"/>
  <c r="C19" i="1"/>
  <c r="C4" i="1"/>
  <c r="C80" i="1"/>
  <c r="E56" i="1"/>
  <c r="E30" i="1"/>
  <c r="E66" i="1"/>
  <c r="E80" i="1"/>
  <c r="E39" i="1"/>
  <c r="E76" i="1"/>
  <c r="E14" i="1"/>
  <c r="E11" i="1"/>
  <c r="E5" i="1"/>
  <c r="E49" i="1"/>
  <c r="E2" i="1" l="1"/>
  <c r="I80" i="1"/>
  <c r="J56" i="1"/>
  <c r="I30" i="1"/>
  <c r="I66" i="1"/>
  <c r="I49" i="1"/>
  <c r="I56" i="1"/>
  <c r="I5" i="1"/>
  <c r="J5" i="1"/>
  <c r="J76" i="1"/>
  <c r="I76" i="1"/>
  <c r="J11" i="1"/>
  <c r="J66" i="1"/>
  <c r="I14" i="1"/>
  <c r="J39" i="1"/>
  <c r="J80" i="1"/>
  <c r="I39" i="1"/>
  <c r="J49" i="1"/>
  <c r="I11" i="1"/>
  <c r="J30" i="1"/>
  <c r="J14" i="1"/>
  <c r="K80" i="1" l="1"/>
  <c r="K39" i="1"/>
  <c r="K76" i="1"/>
  <c r="K5" i="1"/>
  <c r="K11" i="1"/>
  <c r="K56" i="1"/>
  <c r="K49" i="1"/>
  <c r="K14" i="1"/>
  <c r="K30" i="1"/>
  <c r="T68" i="4" l="1"/>
  <c r="L38" i="1" l="1"/>
  <c r="L33" i="1"/>
  <c r="L34" i="1"/>
  <c r="L30" i="1"/>
  <c r="L77" i="1"/>
  <c r="L83" i="1"/>
  <c r="L9" i="1"/>
  <c r="L61" i="1"/>
  <c r="L53" i="1"/>
  <c r="L62" i="1"/>
  <c r="L76" i="1"/>
  <c r="L86" i="1"/>
  <c r="K2" i="1"/>
  <c r="J2" i="1" s="1"/>
  <c r="L84" i="1"/>
  <c r="L5" i="1"/>
  <c r="L60" i="1"/>
  <c r="L49" i="1"/>
  <c r="L11" i="1"/>
  <c r="L72" i="1"/>
  <c r="L15" i="1"/>
  <c r="L4" i="1"/>
  <c r="L2" i="1"/>
  <c r="L28" i="1"/>
  <c r="L20" i="1"/>
  <c r="L29" i="1"/>
  <c r="L14" i="1"/>
  <c r="L40" i="1"/>
  <c r="L16" i="1"/>
  <c r="L46" i="1"/>
  <c r="L85" i="1"/>
  <c r="L63" i="1"/>
  <c r="L54" i="1"/>
  <c r="L6" i="1"/>
  <c r="L64" i="1"/>
  <c r="L66" i="1"/>
  <c r="L43" i="1"/>
  <c r="L56" i="1"/>
  <c r="L23" i="1"/>
  <c r="L80" i="1"/>
  <c r="L70" i="1"/>
  <c r="L18" i="1"/>
  <c r="L31" i="1"/>
  <c r="L47" i="1"/>
  <c r="L19" i="1"/>
  <c r="L21" i="1"/>
  <c r="L82" i="1"/>
  <c r="L48" i="1"/>
  <c r="L26" i="1"/>
  <c r="L22" i="1"/>
  <c r="L71" i="1"/>
  <c r="L39" i="1"/>
  <c r="L81" i="1"/>
  <c r="L79" i="1"/>
  <c r="L59" i="1"/>
  <c r="L57" i="1"/>
  <c r="L17" i="1"/>
  <c r="L12" i="1"/>
  <c r="L88" i="1"/>
  <c r="L10" i="1"/>
  <c r="L52" i="1"/>
  <c r="L32" i="1"/>
  <c r="L68" i="1"/>
  <c r="L44" i="1"/>
  <c r="L27" i="1"/>
  <c r="L8" i="1"/>
  <c r="L74" i="1"/>
  <c r="L55" i="1"/>
  <c r="L35" i="1"/>
  <c r="L58" i="1"/>
  <c r="L67" i="1"/>
  <c r="L42" i="1"/>
  <c r="L41" i="1"/>
  <c r="L73" i="1"/>
  <c r="L50" i="1"/>
  <c r="L75" i="1"/>
</calcChain>
</file>

<file path=xl/comments1.xml><?xml version="1.0" encoding="utf-8"?>
<comments xmlns="http://schemas.openxmlformats.org/spreadsheetml/2006/main">
  <authors>
    <author>Herranen Noora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Herranen Noora:</t>
        </r>
        <r>
          <rPr>
            <sz val="9"/>
            <color indexed="81"/>
            <rFont val="Tahoma"/>
            <family val="2"/>
          </rPr>
          <t xml:space="preserve">
vastikkeelliset tilat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Herranen Noora:</t>
        </r>
        <r>
          <rPr>
            <sz val="9"/>
            <color indexed="81"/>
            <rFont val="Tahoma"/>
            <family val="2"/>
          </rPr>
          <t xml:space="preserve">
tilastosta suoraan poimi</t>
        </r>
      </text>
    </comment>
  </commentList>
</comments>
</file>

<file path=xl/sharedStrings.xml><?xml version="1.0" encoding="utf-8"?>
<sst xmlns="http://schemas.openxmlformats.org/spreadsheetml/2006/main" count="908" uniqueCount="205">
  <si>
    <t>Tiedot keskuksesta edelliseltä kokonaiselta vuodelta</t>
  </si>
  <si>
    <t>Toimintatiedot</t>
  </si>
  <si>
    <t>Kävijätiedot</t>
  </si>
  <si>
    <t>NIMI</t>
  </si>
  <si>
    <t>TOIMINTA</t>
  </si>
  <si>
    <t>KOHDERYHMÄ</t>
  </si>
  <si>
    <t>KOHDERYHMÄN LISÄTIETO</t>
  </si>
  <si>
    <t>1. Henkilöstö</t>
  </si>
  <si>
    <t>palkallinen henkilöstö</t>
  </si>
  <si>
    <t>ostopalvelu henkilöstö</t>
  </si>
  <si>
    <t xml:space="preserve">palkaton henkilöstö </t>
  </si>
  <si>
    <t xml:space="preserve">2. Tilat (m2) </t>
  </si>
  <si>
    <t>3. Rahoitus (€)</t>
  </si>
  <si>
    <t>c) Nimike/ammattiryhmät (lkm)</t>
  </si>
  <si>
    <t>taiteilija/taidekasvattaja</t>
  </si>
  <si>
    <t>tuotanto/hallinnollinen henkilökunta</t>
  </si>
  <si>
    <t>muu mikä?</t>
  </si>
  <si>
    <t>b) Nuppiluku (lkm)</t>
  </si>
  <si>
    <t>a) Henkilötyövuodet (htv)</t>
  </si>
  <si>
    <t>b) kunnalta/kunnilta</t>
  </si>
  <si>
    <t>a) valtiolta</t>
  </si>
  <si>
    <t>c) muut avustukset</t>
  </si>
  <si>
    <t>d) toiminnan tuotot</t>
  </si>
  <si>
    <t>Kuinka monta % tavoitetaan?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</si>
  <si>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Ydintoiminta-alue (nimeä kunnat)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</si>
  <si>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Valtakunnallinen (nimeä kunnat/alueet)</t>
    </r>
  </si>
  <si>
    <t>Lasten määrä (alle 18v) (lkm)</t>
  </si>
  <si>
    <t>Koulujen määrä (lkm)</t>
  </si>
  <si>
    <r>
      <rPr>
        <b/>
        <sz val="11"/>
        <color theme="1"/>
        <rFont val="Calibri"/>
        <family val="2"/>
        <scheme val="minor"/>
      </rPr>
      <t>perusopetuksen piirissä olevien lasten määrä</t>
    </r>
    <r>
      <rPr>
        <sz val="11"/>
        <color theme="1"/>
        <rFont val="Calibri"/>
        <family val="2"/>
        <scheme val="minor"/>
      </rPr>
      <t>? (lkm)</t>
    </r>
  </si>
  <si>
    <t>Päiväkotien määrä (lkm)</t>
  </si>
  <si>
    <t>vakan piirissä olevien lasten määrä? (lkm)</t>
  </si>
  <si>
    <t>e) Varhaiskasvatukselle</t>
  </si>
  <si>
    <t>a) Esitys</t>
  </si>
  <si>
    <t>b) Työpaja</t>
  </si>
  <si>
    <t>c)  Harrastustoiminta</t>
  </si>
  <si>
    <t>Kävijämäärä b) aikuiset</t>
  </si>
  <si>
    <t>c) Tapahtumakokonaisuudet</t>
  </si>
  <si>
    <t>YHTEENSÄ</t>
  </si>
  <si>
    <t>g) Useille kohderyhmille</t>
  </si>
  <si>
    <t>JAOTELTUNA TOIMINTAOTSIKON MUKAAN</t>
  </si>
  <si>
    <t>JAOTELTUNA KOHDERYHMÄN MUKAAN</t>
  </si>
  <si>
    <t>Valitse yksi</t>
  </si>
  <si>
    <t>Asiakaskontakti (lkm)</t>
  </si>
  <si>
    <t>a) Henkilöstökulut sivukuluineen</t>
  </si>
  <si>
    <t>b) Tila- ja kiinteistökulut</t>
  </si>
  <si>
    <t>c) Muut kulut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</si>
  <si>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</si>
  <si>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</si>
  <si>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</si>
  <si>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</si>
  <si>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</si>
  <si>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</si>
  <si>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</si>
  <si>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</si>
  <si>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</si>
  <si>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</si>
  <si>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</si>
  <si>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</si>
  <si>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Kuluvan vuoden tilaston täyttö</t>
  </si>
  <si>
    <t>Kaupungin / muu oma raportointitarve</t>
  </si>
  <si>
    <t>TOIMIJA</t>
  </si>
  <si>
    <t xml:space="preserve">Lastenkulttuurikeskusten Liitto / Vastuuhenkilö: </t>
  </si>
  <si>
    <t>OKM /                                               Vastuuhenkilö: Iina Berden</t>
  </si>
  <si>
    <t>JAOTELTUNA IKÄRYHMÄN MUKAAN</t>
  </si>
  <si>
    <t>d) Avoin kulttuurikeskustoiminta</t>
  </si>
  <si>
    <t>4. Kustannukset (€)</t>
  </si>
  <si>
    <t>LASTENKULTTUURIN TOIMINTAKENTTÄ</t>
  </si>
  <si>
    <t>ERITYISRYHMÄT</t>
  </si>
  <si>
    <t>JAOTELTUNA SUHTEESSA ERITYISRYHMIIN</t>
  </si>
  <si>
    <t>Kävijämäärä a) lapset</t>
  </si>
  <si>
    <t>Kokonais-kesto (h)</t>
  </si>
  <si>
    <t>Tapaamis-kerrat (lkm)</t>
  </si>
  <si>
    <t>a) Toiminta soveltuu</t>
  </si>
  <si>
    <t>b) Toiminta on suunnattu erityisesti</t>
  </si>
  <si>
    <t>c) Toiminta ei sovellu</t>
  </si>
  <si>
    <t>a) Vauvat ja taaperot</t>
  </si>
  <si>
    <t>Kesto (min) / tapaami-nen KA</t>
  </si>
  <si>
    <t>Kävijä-määrä b) aikuiset</t>
  </si>
  <si>
    <t>Kokonais-kävijä-määrä</t>
  </si>
  <si>
    <t>Prosenttia (%) lkm:stä</t>
  </si>
  <si>
    <t>f) Näyttely</t>
  </si>
  <si>
    <t>g) Verkkosisältö</t>
  </si>
  <si>
    <t>h) Koulutus</t>
  </si>
  <si>
    <t>Tapahtumien määrä (lkm)</t>
  </si>
  <si>
    <r>
      <t xml:space="preserve">Toiminta-alue </t>
    </r>
    <r>
      <rPr>
        <sz val="11"/>
        <color theme="1"/>
        <rFont val="Calibri"/>
        <family val="2"/>
        <scheme val="minor"/>
      </rPr>
      <t>(kunnat, joissa on ollut toimintaa)</t>
    </r>
  </si>
  <si>
    <r>
      <t>Tiedot toiminta-alueesta</t>
    </r>
    <r>
      <rPr>
        <b/>
        <sz val="11"/>
        <rFont val="Calibri"/>
        <family val="2"/>
        <scheme val="minor"/>
      </rPr>
      <t xml:space="preserve"> edelliseltä vuodelta</t>
    </r>
  </si>
  <si>
    <t>Tilastokeskus päivittää verkkojulkaisunsa kuun lopussa</t>
  </si>
  <si>
    <t>JAOTELTUNA ALUEEN MUKAAN</t>
  </si>
  <si>
    <t>Ikäryhmä</t>
  </si>
  <si>
    <t>Alueellisuus</t>
  </si>
  <si>
    <t>a) Paikallinen</t>
  </si>
  <si>
    <t xml:space="preserve">b) Alueellinen </t>
  </si>
  <si>
    <t>e) Yleisötilaisuus</t>
  </si>
  <si>
    <t>b) Leikki-ikäiset</t>
  </si>
  <si>
    <t>c) Alle kouluikäiset</t>
  </si>
  <si>
    <t>d) Alakouluikäiset</t>
  </si>
  <si>
    <t>e) Yläkouluikäiset</t>
  </si>
  <si>
    <t>f) Lukioikäiset</t>
  </si>
  <si>
    <t>g) Nuoret aikuiset</t>
  </si>
  <si>
    <t>h) 0-12-vuotiaat</t>
  </si>
  <si>
    <t>i) 13-18-vuotiaat</t>
  </si>
  <si>
    <t xml:space="preserve">k) Aikuiset </t>
  </si>
  <si>
    <t>l) Ikäihmiset</t>
  </si>
  <si>
    <t>m) Joku muu</t>
  </si>
  <si>
    <t>j) 16-29-vuotiaat</t>
  </si>
  <si>
    <t>Tapahtumien määrä</t>
  </si>
  <si>
    <t>KA kokonais-kävijämäärä/tapahtuma (lkm)</t>
  </si>
  <si>
    <t>KIELI</t>
  </si>
  <si>
    <t>RAHOITUS</t>
  </si>
  <si>
    <t>a) Suomi</t>
  </si>
  <si>
    <t>b) Ruotsi</t>
  </si>
  <si>
    <t>c) Saame</t>
  </si>
  <si>
    <t>d) Englanti</t>
  </si>
  <si>
    <t>e) Venäjä</t>
  </si>
  <si>
    <t>f) Viittomakieli</t>
  </si>
  <si>
    <t>g) Kaksi- tai useampikielinen</t>
  </si>
  <si>
    <t>a) Avustus lastenkulttuurikeskuksille (OKM)</t>
  </si>
  <si>
    <t>b) Taidetestaajat</t>
  </si>
  <si>
    <t>Asiakas-kontaktit (%)</t>
  </si>
  <si>
    <t>Asiakas-kontaktit (lkm)</t>
  </si>
  <si>
    <t>Tiedonantaja / vastuuhenkilö</t>
  </si>
  <si>
    <t>JAOTELTUNA KIELEN MUKAAN</t>
  </si>
  <si>
    <t>c) Pelkkä omarahoitus</t>
  </si>
  <si>
    <t>d) Rahoitus A</t>
  </si>
  <si>
    <t>e) Rahoitus B</t>
  </si>
  <si>
    <t>f) Rahoitus C</t>
  </si>
  <si>
    <t>g) Rahoitus D</t>
  </si>
  <si>
    <t>h) Rahoitus E</t>
  </si>
  <si>
    <t>Kulttuurikasvatus  yhteensä</t>
  </si>
  <si>
    <t>JAOTELTUNA RAHOITUKSEN MUKAAN</t>
  </si>
  <si>
    <t>KULTTUURIKASVATUS JAOTELTUNA IKÄRYHMÄN MUKAAN</t>
  </si>
  <si>
    <t>1. Kuluvan vuoden tilaston täyttö 
2. Tilastojen välitarkastus</t>
  </si>
  <si>
    <t>1. Kuluvan vuoden tilaston täyttö   
2. Välitilastointi hakemuksiin</t>
  </si>
  <si>
    <t>Edellisen vuoden tilastokoonti ja valtakunnallinen tiedotus</t>
  </si>
  <si>
    <t>OHJEET JA MÄÄRITELMÄT</t>
  </si>
  <si>
    <t>SUOMEN LASTENKULTTUURIKESKUSTEN LIITTO</t>
  </si>
  <si>
    <t>Alkupäivämäärä</t>
  </si>
  <si>
    <t>Loppupäivämäärä</t>
  </si>
  <si>
    <t>Taidetestaajat-koordinaatio</t>
  </si>
  <si>
    <t>Tapahtumapaikka</t>
  </si>
  <si>
    <t>Tapahtumakunta</t>
  </si>
  <si>
    <t>Kokonaiskesto (min)</t>
  </si>
  <si>
    <t>ostopalveluhenkilöstö</t>
  </si>
  <si>
    <t xml:space="preserve">e) Muu </t>
  </si>
  <si>
    <t>d) Taidetestaajat</t>
  </si>
  <si>
    <t>Kokonaiskävijämäärä</t>
  </si>
  <si>
    <t>Tapaamiskerrat /lapsi</t>
  </si>
  <si>
    <t>i) Taiteilijatapaaminen</t>
  </si>
  <si>
    <t>j) Opastus</t>
  </si>
  <si>
    <t>e) Muu</t>
  </si>
  <si>
    <t>JAOTELTUNA ENSISIJAISEN SISÄLLÖN MUKAAN</t>
  </si>
  <si>
    <t>JAOTELTUNA TOISSIJAISEN SISÄLLÖN MUKAAN</t>
  </si>
  <si>
    <t>ENSISIJAINEN SISÄLTÖ</t>
  </si>
  <si>
    <t>TOISSIJAINEN SISÄLTÖ</t>
  </si>
  <si>
    <t>Edellisen vuoden tilastokoonti "koko Suomi" ja valtakunnallinen tiedotus</t>
  </si>
  <si>
    <t>Talous- yms. tiedoista tiedottaminen</t>
  </si>
  <si>
    <t>Tilastokeskus /                     Vastuuhenkilö: Jukka Ekholm</t>
  </si>
  <si>
    <r>
      <rPr>
        <b/>
        <sz val="11"/>
        <color theme="1"/>
        <rFont val="Calibri"/>
        <family val="2"/>
        <scheme val="minor"/>
      </rPr>
      <t>Kulttuurikeskus /</t>
    </r>
    <r>
      <rPr>
        <sz val="11"/>
        <color theme="1"/>
        <rFont val="Calibri"/>
        <family val="2"/>
        <scheme val="minor"/>
      </rPr>
      <t xml:space="preserve">                                </t>
    </r>
    <r>
      <rPr>
        <b/>
        <sz val="11"/>
        <color theme="1"/>
        <rFont val="Calibri"/>
        <family val="2"/>
        <scheme val="minor"/>
      </rPr>
      <t>Vastuuhenkilöt:</t>
    </r>
  </si>
  <si>
    <r>
      <t>Tilastokoonnin toimitus Tilastokeskukselle</t>
    </r>
    <r>
      <rPr>
        <b/>
        <sz val="11"/>
        <color theme="1"/>
        <rFont val="Calibri"/>
        <family val="2"/>
        <scheme val="minor"/>
      </rPr>
      <t xml:space="preserve"> 30.4. mennessä</t>
    </r>
  </si>
  <si>
    <t>JAOTELTUNA VUOSIKOLMANNEKSEN MUKAAN</t>
  </si>
  <si>
    <t>1. kolmannes, 1.1.-30.4.2018</t>
  </si>
  <si>
    <t>2. kolmannes, 1.5.-31.8.2018</t>
  </si>
  <si>
    <t>3. kolmannes, 1.9.-31.12.2018</t>
  </si>
  <si>
    <t>c) Maakunnallinen</t>
  </si>
  <si>
    <t xml:space="preserve">d) Valtakunnallinen </t>
  </si>
  <si>
    <t>e) Kansainvälinen</t>
  </si>
  <si>
    <t>Keskuksen nimi</t>
  </si>
  <si>
    <t>Organisoitumismuoto</t>
  </si>
  <si>
    <t>Perustamisvuosi</t>
  </si>
  <si>
    <t>d)     Kansainvälinen (nimeä maat)</t>
  </si>
  <si>
    <t>a) toimintatilat</t>
  </si>
  <si>
    <t>b) toimistotilat</t>
  </si>
  <si>
    <t>Liittynyt liittoon vuonna</t>
  </si>
  <si>
    <t>LISÄTIETO</t>
  </si>
  <si>
    <r>
      <t>a)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Yleisölle avoin toiminta</t>
    </r>
  </si>
  <si>
    <r>
      <t>b)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Kulttuurikasvatus </t>
    </r>
  </si>
  <si>
    <r>
      <t>b)</t>
    </r>
    <r>
      <rPr>
        <sz val="11"/>
        <color theme="1"/>
        <rFont val="Calibri"/>
        <family val="2"/>
        <scheme val="minor"/>
      </rPr>
      <t xml:space="preserve"> Työpaja</t>
    </r>
  </si>
  <si>
    <r>
      <t>c)</t>
    </r>
    <r>
      <rPr>
        <sz val="11"/>
        <color theme="1"/>
        <rFont val="Calibri"/>
        <family val="2"/>
        <scheme val="minor"/>
      </rPr>
      <t>  Harrastustoiminta</t>
    </r>
  </si>
  <si>
    <r>
      <t>a)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Lapsille</t>
    </r>
  </si>
  <si>
    <r>
      <t>b)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Nuorille</t>
    </r>
  </si>
  <si>
    <r>
      <t>c)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Perheille</t>
    </r>
  </si>
  <si>
    <r>
      <t>d)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Kouluille</t>
    </r>
  </si>
  <si>
    <r>
      <t>f)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Aikuisille</t>
    </r>
  </si>
  <si>
    <r>
      <t>a)</t>
    </r>
    <r>
      <rPr>
        <sz val="11"/>
        <color theme="0" tint="-0.34998626667073579"/>
        <rFont val="Times New Roman"/>
        <family val="1"/>
      </rPr>
      <t> </t>
    </r>
    <r>
      <rPr>
        <sz val="11"/>
        <color theme="0" tint="-0.34998626667073579"/>
        <rFont val="Calibri"/>
        <family val="2"/>
        <scheme val="minor"/>
      </rPr>
      <t>Yleisölle avoin toiminta</t>
    </r>
  </si>
  <si>
    <r>
      <t>b)</t>
    </r>
    <r>
      <rPr>
        <sz val="11"/>
        <color theme="0" tint="-0.34998626667073579"/>
        <rFont val="Times New Roman"/>
        <family val="1"/>
      </rPr>
      <t xml:space="preserve"> </t>
    </r>
    <r>
      <rPr>
        <sz val="11"/>
        <color theme="0" tint="-0.34998626667073579"/>
        <rFont val="Calibri"/>
        <family val="2"/>
        <scheme val="minor"/>
      </rPr>
      <t xml:space="preserve">Kulttuurikasvatus </t>
    </r>
  </si>
  <si>
    <r>
      <t>a)</t>
    </r>
    <r>
      <rPr>
        <sz val="11"/>
        <color theme="0" tint="-0.34998626667073579"/>
        <rFont val="Times New Roman"/>
        <family val="1"/>
      </rPr>
      <t xml:space="preserve"> </t>
    </r>
    <r>
      <rPr>
        <sz val="11"/>
        <color theme="0" tint="-0.34998626667073579"/>
        <rFont val="Calibri"/>
        <family val="2"/>
        <scheme val="minor"/>
      </rPr>
      <t>Lapsille</t>
    </r>
  </si>
  <si>
    <r>
      <t>b)</t>
    </r>
    <r>
      <rPr>
        <sz val="11"/>
        <color theme="0" tint="-0.34998626667073579"/>
        <rFont val="Times New Roman"/>
        <family val="1"/>
      </rPr>
      <t> </t>
    </r>
    <r>
      <rPr>
        <sz val="11"/>
        <color theme="0" tint="-0.34998626667073579"/>
        <rFont val="Calibri"/>
        <family val="2"/>
        <scheme val="minor"/>
      </rPr>
      <t>Nuorille</t>
    </r>
  </si>
  <si>
    <r>
      <t>c)</t>
    </r>
    <r>
      <rPr>
        <sz val="11"/>
        <color theme="0" tint="-0.34998626667073579"/>
        <rFont val="Times New Roman"/>
        <family val="1"/>
      </rPr>
      <t> </t>
    </r>
    <r>
      <rPr>
        <sz val="11"/>
        <color theme="0" tint="-0.34998626667073579"/>
        <rFont val="Calibri"/>
        <family val="2"/>
        <scheme val="minor"/>
      </rPr>
      <t>Perheille</t>
    </r>
  </si>
  <si>
    <r>
      <t>d)</t>
    </r>
    <r>
      <rPr>
        <sz val="11"/>
        <color theme="0" tint="-0.34998626667073579"/>
        <rFont val="Times New Roman"/>
        <family val="1"/>
      </rPr>
      <t xml:space="preserve"> </t>
    </r>
    <r>
      <rPr>
        <sz val="11"/>
        <color theme="0" tint="-0.34998626667073579"/>
        <rFont val="Calibri"/>
        <family val="2"/>
        <scheme val="minor"/>
      </rPr>
      <t>Kouluille</t>
    </r>
  </si>
  <si>
    <r>
      <t>f)</t>
    </r>
    <r>
      <rPr>
        <sz val="11"/>
        <color theme="0" tint="-0.34998626667073579"/>
        <rFont val="Times New Roman"/>
        <family val="1"/>
      </rPr>
      <t> </t>
    </r>
    <r>
      <rPr>
        <sz val="11"/>
        <color theme="0" tint="-0.34998626667073579"/>
        <rFont val="Calibri"/>
        <family val="2"/>
        <scheme val="minor"/>
      </rPr>
      <t>Aikuisille</t>
    </r>
  </si>
  <si>
    <t>Kävijä-määrä a) lapset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</si>
  <si>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Maakuntataso (nimeä maakunta/kunnat)</t>
    </r>
  </si>
  <si>
    <t>Kesto (min) / tapaaminen</t>
  </si>
  <si>
    <t>k) Jokin muu</t>
  </si>
  <si>
    <t>m) Perhe</t>
  </si>
  <si>
    <t>h) Jokin muu</t>
  </si>
  <si>
    <r>
      <t xml:space="preserve">Ohjeet löytyvät osoitteesta </t>
    </r>
    <r>
      <rPr>
        <b/>
        <sz val="11"/>
        <color theme="1"/>
        <rFont val="Calibri"/>
        <family val="2"/>
        <scheme val="minor"/>
      </rPr>
      <t>http://www.lastenkulttuuri.fi/lastenkulttuuritieto/tutkimukset-ja-tilastot/tilastoinnin-ohjeet-ja-maaritelmat/</t>
    </r>
  </si>
  <si>
    <t>d) Subventoidut kulut</t>
  </si>
  <si>
    <t>1. Kuluvan vuoden tilaston täyttö
2. Seuraavan vuoden tilasto-ohjeisiin perehtyminen</t>
  </si>
  <si>
    <t>LASTENKULTTUURIKESKUKSEN KOKO TOIMINTA VUONNA 2018</t>
  </si>
  <si>
    <t xml:space="preserve">LASTENKULTTUURIKESKUKSEN TOIMINTARESURSSIT </t>
  </si>
  <si>
    <t>Keskuksen perustiedot</t>
  </si>
  <si>
    <t xml:space="preserve">Ohjesivun yläosasta löydät linkin Taidetestaajat-tilastoinnin ohjeistukseen. </t>
  </si>
  <si>
    <r>
      <t xml:space="preserve">1. Vuoden 2018 tilastopohjan käyttöönotto ja kuluvan vuoden tilaston täyttö. 
2. Edellisen vuoden tilastotietojen toimitus Suomen lastenkulttuurikeskusten liiton koordinaattorille </t>
    </r>
    <r>
      <rPr>
        <b/>
        <sz val="11"/>
        <color theme="1"/>
        <rFont val="Calibri"/>
        <family val="2"/>
        <scheme val="minor"/>
      </rPr>
      <t xml:space="preserve">/DL 31.1. </t>
    </r>
  </si>
  <si>
    <r>
      <t xml:space="preserve">1. Ministeriölle toimitetaan raportoinnin yhteydessä välilehti YHTEENVETO koko toiminta. </t>
    </r>
    <r>
      <rPr>
        <b/>
        <sz val="10"/>
        <rFont val="Calibri"/>
        <family val="2"/>
        <scheme val="minor"/>
      </rPr>
      <t>Huom! Ilman Taidetestaajat-vierailuja.</t>
    </r>
    <r>
      <rPr>
        <sz val="10"/>
        <rFont val="Calibri"/>
        <family val="2"/>
        <scheme val="minor"/>
      </rPr>
      <t xml:space="preserve"> (pdf) </t>
    </r>
    <r>
      <rPr>
        <b/>
        <sz val="10"/>
        <color theme="1"/>
        <rFont val="Calibri"/>
        <family val="2"/>
        <scheme val="minor"/>
      </rPr>
      <t xml:space="preserve">/DL 30.4.
2. </t>
    </r>
    <r>
      <rPr>
        <sz val="10"/>
        <color theme="1"/>
        <rFont val="Calibri"/>
        <family val="2"/>
        <scheme val="minor"/>
      </rPr>
      <t>Kuluvan vuoden tilaston täyttö.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</si>
</sst>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 tint="-0.34998626667073579"/>
      <name val="Times New Roman"/>
      <family val="1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24F8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5A5A5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4" borderId="28" applyNumberFormat="0" applyAlignment="0" applyProtection="0"/>
  </cellStyleXfs>
  <cellXfs count="178">
    <xf numFmtId="0" fontId="0" fillId="0" borderId="0" xfId="0"/>
    <xf numFmtId="0" fontId="0" fillId="0" borderId="7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2" borderId="14" xfId="0" applyFill="1" applyBorder="1"/>
    <xf numFmtId="0" fontId="0" fillId="0" borderId="8" xfId="0" applyBorder="1" applyAlignment="1">
      <alignment horizontal="left" vertical="top" wrapText="1"/>
    </xf>
    <xf numFmtId="0" fontId="0" fillId="2" borderId="9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/>
    <xf numFmtId="0" fontId="0" fillId="2" borderId="15" xfId="0" applyFill="1" applyBorder="1"/>
    <xf numFmtId="0" fontId="1" fillId="0" borderId="3" xfId="0" applyFont="1" applyBorder="1" applyAlignment="1">
      <alignment vertical="top" wrapText="1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" borderId="9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0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8" xfId="0" applyFill="1" applyBorder="1"/>
    <xf numFmtId="0" fontId="0" fillId="0" borderId="4" xfId="0" applyFill="1" applyBorder="1"/>
    <xf numFmtId="0" fontId="0" fillId="0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12" borderId="5" xfId="0" applyFill="1" applyBorder="1"/>
    <xf numFmtId="9" fontId="0" fillId="5" borderId="17" xfId="1" applyFont="1" applyFill="1" applyBorder="1" applyProtection="1"/>
    <xf numFmtId="1" fontId="6" fillId="5" borderId="23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right"/>
    </xf>
    <xf numFmtId="1" fontId="7" fillId="13" borderId="18" xfId="0" applyNumberFormat="1" applyFont="1" applyFill="1" applyBorder="1" applyAlignment="1" applyProtection="1">
      <alignment vertical="top" wrapText="1"/>
    </xf>
    <xf numFmtId="1" fontId="7" fillId="7" borderId="18" xfId="0" applyNumberFormat="1" applyFont="1" applyFill="1" applyBorder="1" applyAlignment="1" applyProtection="1">
      <alignment vertical="top" wrapText="1"/>
    </xf>
    <xf numFmtId="0" fontId="7" fillId="7" borderId="18" xfId="0" applyFont="1" applyFill="1" applyBorder="1" applyAlignment="1" applyProtection="1">
      <alignment vertical="top" wrapText="1"/>
    </xf>
    <xf numFmtId="0" fontId="7" fillId="8" borderId="21" xfId="0" applyFont="1" applyFill="1" applyBorder="1" applyAlignment="1" applyProtection="1">
      <alignment vertical="top" wrapText="1"/>
    </xf>
    <xf numFmtId="0" fontId="7" fillId="8" borderId="19" xfId="0" applyFont="1" applyFill="1" applyBorder="1" applyAlignment="1" applyProtection="1">
      <alignment vertical="top" wrapText="1"/>
    </xf>
    <xf numFmtId="0" fontId="7" fillId="3" borderId="18" xfId="0" applyFont="1" applyFill="1" applyBorder="1" applyAlignment="1" applyProtection="1">
      <alignment vertical="top" wrapText="1"/>
    </xf>
    <xf numFmtId="0" fontId="0" fillId="0" borderId="0" xfId="0" applyProtection="1"/>
    <xf numFmtId="9" fontId="6" fillId="5" borderId="23" xfId="1" applyFont="1" applyFill="1" applyBorder="1" applyAlignment="1" applyProtection="1">
      <alignment vertical="top" wrapText="1"/>
    </xf>
    <xf numFmtId="0" fontId="6" fillId="5" borderId="24" xfId="0" applyFont="1" applyFill="1" applyBorder="1" applyAlignment="1" applyProtection="1">
      <alignment vertical="top" wrapText="1"/>
    </xf>
    <xf numFmtId="1" fontId="6" fillId="5" borderId="24" xfId="0" applyNumberFormat="1" applyFont="1" applyFill="1" applyBorder="1" applyAlignment="1" applyProtection="1">
      <alignment vertical="top" wrapText="1"/>
    </xf>
    <xf numFmtId="9" fontId="6" fillId="5" borderId="25" xfId="1" applyFont="1" applyFill="1" applyBorder="1" applyAlignment="1" applyProtection="1">
      <alignment vertical="top" wrapText="1"/>
    </xf>
    <xf numFmtId="0" fontId="9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0" fillId="5" borderId="17" xfId="0" applyFill="1" applyBorder="1" applyProtection="1"/>
    <xf numFmtId="1" fontId="0" fillId="5" borderId="17" xfId="0" applyNumberFormat="1" applyFill="1" applyBorder="1" applyProtection="1"/>
    <xf numFmtId="2" fontId="0" fillId="5" borderId="17" xfId="0" applyNumberFormat="1" applyFill="1" applyBorder="1" applyProtection="1"/>
    <xf numFmtId="0" fontId="1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9" fontId="10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horizontal="right"/>
    </xf>
    <xf numFmtId="0" fontId="10" fillId="0" borderId="0" xfId="0" applyFont="1" applyProtection="1"/>
    <xf numFmtId="2" fontId="6" fillId="5" borderId="24" xfId="0" applyNumberFormat="1" applyFont="1" applyFill="1" applyBorder="1" applyAlignment="1" applyProtection="1">
      <alignment vertical="top" wrapText="1"/>
    </xf>
    <xf numFmtId="0" fontId="6" fillId="5" borderId="25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9" fontId="0" fillId="0" borderId="0" xfId="1" applyFont="1" applyFill="1" applyBorder="1" applyProtection="1"/>
    <xf numFmtId="2" fontId="0" fillId="0" borderId="0" xfId="0" applyNumberFormat="1" applyFill="1" applyBorder="1" applyProtection="1"/>
    <xf numFmtId="0" fontId="1" fillId="0" borderId="0" xfId="0" applyFont="1" applyAlignment="1" applyProtection="1">
      <alignment horizontal="right" vertical="center" wrapText="1"/>
    </xf>
    <xf numFmtId="0" fontId="1" fillId="0" borderId="26" xfId="0" applyFont="1" applyBorder="1" applyAlignment="1" applyProtection="1">
      <alignment horizontal="left" vertical="top"/>
    </xf>
    <xf numFmtId="9" fontId="6" fillId="0" borderId="0" xfId="1" applyFont="1" applyFill="1" applyBorder="1" applyAlignment="1" applyProtection="1">
      <alignment vertical="top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0" fillId="0" borderId="0" xfId="0"/>
    <xf numFmtId="0" fontId="1" fillId="0" borderId="0" xfId="0" applyFont="1"/>
    <xf numFmtId="0" fontId="13" fillId="0" borderId="0" xfId="0" applyFont="1"/>
    <xf numFmtId="0" fontId="14" fillId="0" borderId="27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27" xfId="0" applyFont="1" applyBorder="1"/>
    <xf numFmtId="0" fontId="19" fillId="0" borderId="0" xfId="0" applyFont="1"/>
    <xf numFmtId="0" fontId="0" fillId="0" borderId="27" xfId="0" applyFont="1" applyBorder="1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vertical="top"/>
      <protection locked="0"/>
    </xf>
    <xf numFmtId="0" fontId="21" fillId="0" borderId="0" xfId="0" applyFont="1" applyBorder="1" applyProtection="1">
      <protection locked="0"/>
    </xf>
    <xf numFmtId="0" fontId="22" fillId="6" borderId="0" xfId="0" applyFont="1" applyFill="1" applyBorder="1" applyAlignment="1" applyProtection="1">
      <alignment horizontal="left" vertical="top" wrapText="1"/>
      <protection locked="0"/>
    </xf>
    <xf numFmtId="0" fontId="22" fillId="6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2" applyAlignment="1" applyProtection="1">
      <alignment horizontal="left" vertical="top"/>
    </xf>
    <xf numFmtId="0" fontId="24" fillId="0" borderId="0" xfId="2" applyFont="1" applyAlignment="1" applyProtection="1">
      <alignment horizontal="right"/>
    </xf>
    <xf numFmtId="49" fontId="25" fillId="9" borderId="17" xfId="0" applyNumberFormat="1" applyFont="1" applyFill="1" applyBorder="1" applyAlignment="1">
      <alignment horizontal="center" vertical="top" wrapText="1"/>
    </xf>
    <xf numFmtId="49" fontId="26" fillId="0" borderId="0" xfId="0" applyNumberFormat="1" applyFont="1"/>
    <xf numFmtId="49" fontId="27" fillId="10" borderId="17" xfId="0" applyNumberFormat="1" applyFont="1" applyFill="1" applyBorder="1" applyAlignment="1">
      <alignment wrapText="1"/>
    </xf>
    <xf numFmtId="49" fontId="28" fillId="10" borderId="17" xfId="0" applyNumberFormat="1" applyFont="1" applyFill="1" applyBorder="1" applyAlignment="1">
      <alignment wrapText="1"/>
    </xf>
    <xf numFmtId="49" fontId="29" fillId="11" borderId="17" xfId="0" applyNumberFormat="1" applyFont="1" applyFill="1" applyBorder="1" applyAlignment="1">
      <alignment wrapText="1"/>
    </xf>
    <xf numFmtId="49" fontId="26" fillId="11" borderId="17" xfId="0" applyNumberFormat="1" applyFont="1" applyFill="1" applyBorder="1" applyAlignment="1">
      <alignment wrapText="1"/>
    </xf>
    <xf numFmtId="49" fontId="30" fillId="11" borderId="17" xfId="0" applyNumberFormat="1" applyFont="1" applyFill="1" applyBorder="1" applyAlignment="1">
      <alignment wrapText="1"/>
    </xf>
    <xf numFmtId="49" fontId="31" fillId="10" borderId="17" xfId="0" applyNumberFormat="1" applyFont="1" applyFill="1" applyBorder="1" applyAlignment="1">
      <alignment wrapText="1"/>
    </xf>
    <xf numFmtId="49" fontId="26" fillId="10" borderId="0" xfId="0" applyNumberFormat="1" applyFont="1" applyFill="1"/>
    <xf numFmtId="49" fontId="28" fillId="11" borderId="17" xfId="0" applyNumberFormat="1" applyFont="1" applyFill="1" applyBorder="1" applyAlignment="1">
      <alignment wrapText="1"/>
    </xf>
    <xf numFmtId="49" fontId="32" fillId="0" borderId="0" xfId="0" applyNumberFormat="1" applyFont="1"/>
    <xf numFmtId="9" fontId="0" fillId="5" borderId="17" xfId="0" applyNumberFormat="1" applyFill="1" applyBorder="1" applyProtection="1"/>
    <xf numFmtId="0" fontId="1" fillId="0" borderId="2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49" fontId="5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9" fontId="23" fillId="0" borderId="0" xfId="2" applyNumberFormat="1" applyFont="1" applyAlignment="1" applyProtection="1">
      <alignment horizontal="left"/>
    </xf>
    <xf numFmtId="0" fontId="0" fillId="0" borderId="0" xfId="0" applyFont="1" applyProtection="1"/>
    <xf numFmtId="49" fontId="10" fillId="0" borderId="0" xfId="0" applyNumberFormat="1" applyFont="1" applyAlignment="1" applyProtection="1">
      <alignment horizontal="left" vertical="center"/>
    </xf>
    <xf numFmtId="0" fontId="10" fillId="0" borderId="0" xfId="0" applyFont="1" applyFill="1" applyAlignment="1" applyProtection="1">
      <alignment horizontal="left"/>
    </xf>
    <xf numFmtId="49" fontId="12" fillId="0" borderId="0" xfId="0" applyNumberFormat="1" applyFont="1" applyAlignment="1" applyProtection="1">
      <alignment horizontal="left" vertical="center"/>
    </xf>
    <xf numFmtId="0" fontId="7" fillId="14" borderId="28" xfId="3"/>
    <xf numFmtId="0" fontId="7" fillId="14" borderId="28" xfId="3" applyAlignment="1">
      <alignment vertical="center"/>
    </xf>
    <xf numFmtId="0" fontId="35" fillId="0" borderId="0" xfId="0" applyFont="1"/>
    <xf numFmtId="0" fontId="15" fillId="0" borderId="0" xfId="0" applyFont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7" fillId="14" borderId="28" xfId="3" applyProtection="1"/>
    <xf numFmtId="0" fontId="1" fillId="4" borderId="7" xfId="0" applyFont="1" applyFill="1" applyBorder="1" applyAlignment="1" applyProtection="1">
      <alignment vertical="top" wrapText="1"/>
      <protection locked="0"/>
    </xf>
    <xf numFmtId="0" fontId="20" fillId="4" borderId="6" xfId="0" applyFont="1" applyFill="1" applyBorder="1" applyAlignment="1" applyProtection="1">
      <alignment vertical="top" wrapText="1"/>
      <protection locked="0"/>
    </xf>
    <xf numFmtId="0" fontId="22" fillId="4" borderId="6" xfId="0" applyFont="1" applyFill="1" applyBorder="1" applyAlignment="1" applyProtection="1">
      <alignment vertical="top" wrapText="1"/>
      <protection locked="0"/>
    </xf>
    <xf numFmtId="0" fontId="7" fillId="4" borderId="6" xfId="0" applyFont="1" applyFill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7" xfId="0" applyFont="1" applyBorder="1" applyAlignment="1" applyProtection="1">
      <alignment vertical="top" wrapText="1"/>
      <protection locked="0"/>
    </xf>
    <xf numFmtId="0" fontId="20" fillId="4" borderId="7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2" xfId="0" applyFont="1" applyFill="1" applyBorder="1" applyAlignment="1" applyProtection="1">
      <alignment horizontal="left" wrapText="1"/>
      <protection locked="0"/>
    </xf>
    <xf numFmtId="0" fontId="20" fillId="4" borderId="0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4" fontId="21" fillId="0" borderId="0" xfId="0" applyNumberFormat="1" applyFont="1" applyBorder="1" applyProtection="1">
      <protection locked="0"/>
    </xf>
    <xf numFmtId="0" fontId="21" fillId="5" borderId="0" xfId="0" applyFont="1" applyFill="1" applyBorder="1" applyAlignment="1" applyProtection="1">
      <alignment vertical="top" wrapText="1"/>
      <protection locked="0"/>
    </xf>
    <xf numFmtId="0" fontId="21" fillId="5" borderId="0" xfId="0" applyFont="1" applyFill="1" applyBorder="1" applyProtection="1">
      <protection locked="0"/>
    </xf>
    <xf numFmtId="0" fontId="21" fillId="5" borderId="0" xfId="0" applyNumberFormat="1" applyFont="1" applyFill="1" applyBorder="1" applyProtection="1"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4">
    <cellStyle name="Normaali" xfId="0" builtinId="0"/>
    <cellStyle name="Prosenttia" xfId="1" builtinId="5"/>
    <cellStyle name="Selittävä teksti" xfId="2" builtinId="53"/>
    <cellStyle name="Tarkistussolu" xfId="3" builtinId="23"/>
  </cellStyles>
  <dxfs count="29"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color theme="0"/>
      </font>
      <fill>
        <patternFill patternType="solid">
          <fgColor indexed="64"/>
          <bgColor theme="5"/>
        </patternFill>
      </fill>
      <alignment horizontal="left" vertical="top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protection locked="0" hidden="0"/>
    </dxf>
    <dxf>
      <alignment horizontal="right" vertical="bottom" textRotation="0" indent="0" justifyLastLine="0" shrinkToFit="0" readingOrder="0"/>
      <protection locked="0" hidden="0"/>
    </dxf>
    <dxf>
      <protection locked="0" hidden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protection locked="0" hidden="0"/>
    </dxf>
    <dxf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theme="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general" vertical="top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4.9989318521683403E-2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general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"/>
      <protection locked="0" hidden="0"/>
    </dxf>
    <dxf>
      <protection locked="0" hidden="0"/>
    </dxf>
    <dxf>
      <protection locked="0" hidden="0"/>
    </dxf>
    <dxf>
      <alignment horizontal="right" textRotation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ulukko1" displayName="Taulukko1" ref="A2:Y67" headerRowDxfId="28" dataDxfId="27" totalsRowDxfId="25" tableBorderDxfId="26">
  <autoFilter ref="A2:Y67"/>
  <tableColumns count="25">
    <tableColumn id="1" name="NIMI" dataDxfId="24"/>
    <tableColumn id="23" name="Tapahtumien määrä" dataDxfId="23"/>
    <tableColumn id="25" name="Alkupäivämäärä" dataDxfId="22"/>
    <tableColumn id="26" name="Loppupäivämäärä" dataDxfId="21"/>
    <tableColumn id="2" name="TOIMINTA" dataDxfId="20"/>
    <tableColumn id="19" name="ENSISIJAINEN SISÄLTÖ" dataDxfId="19"/>
    <tableColumn id="7" name="TOISSIJAINEN SISÄLTÖ" dataDxfId="18"/>
    <tableColumn id="3" name="KOHDERYHMÄ" dataDxfId="17"/>
    <tableColumn id="5" name="Alueellisuus" dataDxfId="16"/>
    <tableColumn id="20" name="Ikäryhmä" dataDxfId="15"/>
    <tableColumn id="22" name="KOHDERYHMÄN LISÄTIETO" dataDxfId="14"/>
    <tableColumn id="9" name="Tapahtumakunta" dataDxfId="13"/>
    <tableColumn id="4" name="Tapahtumapaikka" dataDxfId="12"/>
    <tableColumn id="8" name="Kesto (min) / tapaaminen" dataDxfId="11"/>
    <tableColumn id="17" name="Kokonaiskesto (min)" dataDxfId="10">
      <calculatedColumnFormula>SUM(Taulukko1[[#This Row],[Tapahtumien määrä]])*(Taulukko1[[#This Row],[Tapaamiskerrat /lapsi]])*(Taulukko1[[#This Row],[Kesto (min) / tapaaminen]])</calculatedColumnFormula>
    </tableColumn>
    <tableColumn id="10" name="Tapaamiskerrat /lapsi" dataDxfId="9"/>
    <tableColumn id="11" name="Kävijämäärä a) lapset" dataDxfId="8"/>
    <tableColumn id="12" name="Kävijämäärä b) aikuiset" dataDxfId="7"/>
    <tableColumn id="13" name="Kokonaiskävijämäärä" dataDxfId="6">
      <calculatedColumnFormula>SUM((Taulukko1[[#This Row],[Kävijämäärä a) lapset]]+Taulukko1[[#This Row],[Kävijämäärä b) aikuiset]]))</calculatedColumnFormula>
    </tableColumn>
    <tableColumn id="16" name="Asiakaskontakti (lkm)" dataDxfId="5">
      <calculatedColumnFormula>SUM(S3*P3)</calculatedColumnFormula>
    </tableColumn>
    <tableColumn id="14" name="ERITYISRYHMÄT" dataDxfId="4"/>
    <tableColumn id="15" name="KIELI" dataDxfId="3"/>
    <tableColumn id="24" name="RAHOITUS" dataDxfId="2"/>
    <tableColumn id="21" name="Tiedonantaja / vastuuhenkilö" dataDxfId="1"/>
    <tableColumn id="6" name="LISÄTIETO" dataDxfId="0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Y72"/>
  <sheetViews>
    <sheetView topLeftCell="A2" zoomScale="90" zoomScaleNormal="90" workbookViewId="0">
      <pane ySplit="1" topLeftCell="A3" activePane="bottomLeft" state="frozen"/>
      <selection activeCell="A2" sqref="A2"/>
      <selection pane="bottomLeft" activeCell="A9" sqref="A9:XFD9"/>
    </sheetView>
  </sheetViews>
  <sheetFormatPr defaultColWidth="9.140625" defaultRowHeight="15" x14ac:dyDescent="0.25"/>
  <cols>
    <col min="1" max="1" width="31" style="102" customWidth="1"/>
    <col min="2" max="2" width="19.140625" style="102" customWidth="1"/>
    <col min="3" max="3" width="17.5703125" style="111" bestFit="1" customWidth="1"/>
    <col min="4" max="4" width="19" style="111" bestFit="1" customWidth="1"/>
    <col min="5" max="5" width="32" style="111" customWidth="1"/>
    <col min="6" max="6" width="25" style="102" customWidth="1"/>
    <col min="7" max="7" width="33.140625" style="102" customWidth="1"/>
    <col min="8" max="8" width="29.42578125" style="102" customWidth="1"/>
    <col min="9" max="9" width="27.7109375" style="102" customWidth="1"/>
    <col min="10" max="10" width="17.28515625" style="102" customWidth="1"/>
    <col min="11" max="11" width="16.7109375" style="102" customWidth="1"/>
    <col min="12" max="12" width="16.42578125" style="102" bestFit="1" customWidth="1"/>
    <col min="13" max="13" width="24.7109375" style="102" bestFit="1" customWidth="1"/>
    <col min="14" max="14" width="15" style="102" bestFit="1" customWidth="1"/>
    <col min="15" max="15" width="16.140625" style="110" customWidth="1"/>
    <col min="16" max="16" width="16.42578125" style="102" customWidth="1"/>
    <col min="17" max="17" width="17.42578125" style="102" customWidth="1"/>
    <col min="18" max="18" width="15.28515625" style="102" customWidth="1"/>
    <col min="19" max="19" width="45.5703125" style="102" customWidth="1"/>
    <col min="20" max="20" width="25.7109375" style="102" customWidth="1"/>
    <col min="21" max="21" width="47.5703125" style="102" customWidth="1"/>
    <col min="22" max="22" width="19.140625" style="102" customWidth="1"/>
    <col min="23" max="23" width="16" style="102" bestFit="1" customWidth="1"/>
    <col min="24" max="24" width="18.42578125" style="102" bestFit="1" customWidth="1"/>
    <col min="25" max="25" width="16.5703125" style="102" bestFit="1" customWidth="1"/>
    <col min="26" max="16384" width="9.140625" style="102"/>
  </cols>
  <sheetData>
    <row r="1" spans="1:25" x14ac:dyDescent="0.25">
      <c r="A1" s="167" t="s">
        <v>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5" t="s">
        <v>2</v>
      </c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5" s="103" customFormat="1" ht="30.75" customHeight="1" x14ac:dyDescent="0.25">
      <c r="A2" s="149" t="s">
        <v>3</v>
      </c>
      <c r="B2" s="150" t="s">
        <v>105</v>
      </c>
      <c r="C2" s="150" t="s">
        <v>136</v>
      </c>
      <c r="D2" s="150" t="s">
        <v>137</v>
      </c>
      <c r="E2" s="151" t="s">
        <v>4</v>
      </c>
      <c r="F2" s="152" t="s">
        <v>152</v>
      </c>
      <c r="G2" s="152" t="s">
        <v>153</v>
      </c>
      <c r="H2" s="153" t="s">
        <v>5</v>
      </c>
      <c r="I2" s="154" t="s">
        <v>89</v>
      </c>
      <c r="J2" s="155" t="s">
        <v>88</v>
      </c>
      <c r="K2" s="154" t="s">
        <v>6</v>
      </c>
      <c r="L2" s="154" t="s">
        <v>140</v>
      </c>
      <c r="M2" s="154" t="s">
        <v>139</v>
      </c>
      <c r="N2" s="156" t="s">
        <v>192</v>
      </c>
      <c r="O2" s="150" t="s">
        <v>141</v>
      </c>
      <c r="P2" s="150" t="s">
        <v>146</v>
      </c>
      <c r="Q2" s="157" t="s">
        <v>69</v>
      </c>
      <c r="R2" s="158" t="s">
        <v>35</v>
      </c>
      <c r="S2" s="159" t="s">
        <v>145</v>
      </c>
      <c r="T2" s="158" t="s">
        <v>42</v>
      </c>
      <c r="U2" s="155" t="s">
        <v>67</v>
      </c>
      <c r="V2" s="155" t="s">
        <v>107</v>
      </c>
      <c r="W2" s="155" t="s">
        <v>108</v>
      </c>
      <c r="X2" s="155" t="s">
        <v>120</v>
      </c>
      <c r="Y2" s="160" t="s">
        <v>173</v>
      </c>
    </row>
    <row r="3" spans="1:25" ht="15.75" customHeight="1" x14ac:dyDescent="0.25">
      <c r="A3" s="115"/>
      <c r="B3" s="104"/>
      <c r="C3" s="161"/>
      <c r="D3" s="161"/>
      <c r="E3" s="113" t="s">
        <v>41</v>
      </c>
      <c r="F3" s="114" t="s">
        <v>41</v>
      </c>
      <c r="G3" s="114" t="s">
        <v>41</v>
      </c>
      <c r="H3" s="113" t="s">
        <v>41</v>
      </c>
      <c r="I3" s="114" t="s">
        <v>41</v>
      </c>
      <c r="J3" s="114" t="s">
        <v>41</v>
      </c>
      <c r="K3" s="104"/>
      <c r="L3" s="115"/>
      <c r="M3" s="115"/>
      <c r="N3" s="107"/>
      <c r="O3" s="162">
        <f>SUM(Taulukko1[[#This Row],[Tapahtumien määrä]])*(Taulukko1[[#This Row],[Tapaamiskerrat /lapsi]])*(Taulukko1[[#This Row],[Kesto (min) / tapaaminen]])</f>
        <v>0</v>
      </c>
      <c r="P3" s="107"/>
      <c r="Q3" s="108"/>
      <c r="R3" s="104"/>
      <c r="S3" s="163">
        <f>SUM((Taulukko1[[#This Row],[Kävijämäärä a) lapset]]+Taulukko1[[#This Row],[Kävijämäärä b) aikuiset]]))</f>
        <v>0</v>
      </c>
      <c r="T3" s="163">
        <f>SUM(S3*P3)</f>
        <v>0</v>
      </c>
      <c r="U3" s="113" t="s">
        <v>41</v>
      </c>
      <c r="V3" s="113" t="s">
        <v>41</v>
      </c>
      <c r="W3" s="113" t="s">
        <v>41</v>
      </c>
      <c r="X3" s="112"/>
      <c r="Y3" s="104"/>
    </row>
    <row r="4" spans="1:25" ht="15.75" customHeight="1" x14ac:dyDescent="0.25">
      <c r="A4" s="115"/>
      <c r="B4" s="104"/>
      <c r="C4" s="161"/>
      <c r="D4" s="161"/>
      <c r="E4" s="113" t="s">
        <v>41</v>
      </c>
      <c r="F4" s="114" t="s">
        <v>41</v>
      </c>
      <c r="G4" s="114" t="s">
        <v>41</v>
      </c>
      <c r="H4" s="113" t="s">
        <v>41</v>
      </c>
      <c r="I4" s="114" t="s">
        <v>41</v>
      </c>
      <c r="J4" s="114" t="s">
        <v>41</v>
      </c>
      <c r="K4" s="104"/>
      <c r="L4" s="115"/>
      <c r="M4" s="115"/>
      <c r="N4" s="107"/>
      <c r="O4" s="162">
        <f>SUM(Taulukko1[[#This Row],[Tapahtumien määrä]])*(Taulukko1[[#This Row],[Tapaamiskerrat /lapsi]])*(Taulukko1[[#This Row],[Kesto (min) / tapaaminen]])</f>
        <v>0</v>
      </c>
      <c r="P4" s="107"/>
      <c r="Q4" s="108"/>
      <c r="R4" s="104"/>
      <c r="S4" s="163">
        <f>SUM((Taulukko1[[#This Row],[Kävijämäärä a) lapset]]+Taulukko1[[#This Row],[Kävijämäärä b) aikuiset]]))</f>
        <v>0</v>
      </c>
      <c r="T4" s="163">
        <f>SUM(S4*P4)</f>
        <v>0</v>
      </c>
      <c r="U4" s="113" t="s">
        <v>41</v>
      </c>
      <c r="V4" s="113" t="s">
        <v>41</v>
      </c>
      <c r="W4" s="113" t="s">
        <v>41</v>
      </c>
      <c r="X4" s="112"/>
      <c r="Y4" s="104"/>
    </row>
    <row r="5" spans="1:25" ht="15.75" customHeight="1" x14ac:dyDescent="0.25">
      <c r="A5" s="104"/>
      <c r="B5" s="104"/>
      <c r="C5" s="161"/>
      <c r="D5" s="161"/>
      <c r="E5" s="105" t="s">
        <v>41</v>
      </c>
      <c r="F5" s="106" t="s">
        <v>41</v>
      </c>
      <c r="G5" s="106" t="s">
        <v>41</v>
      </c>
      <c r="H5" s="105" t="s">
        <v>41</v>
      </c>
      <c r="I5" s="106" t="s">
        <v>41</v>
      </c>
      <c r="J5" s="106" t="s">
        <v>41</v>
      </c>
      <c r="K5" s="104"/>
      <c r="L5" s="104"/>
      <c r="M5" s="104"/>
      <c r="N5" s="107"/>
      <c r="O5" s="162">
        <f>SUM(Taulukko1[[#This Row],[Tapahtumien määrä]])*(Taulukko1[[#This Row],[Tapaamiskerrat /lapsi]])*(Taulukko1[[#This Row],[Kesto (min) / tapaaminen]])</f>
        <v>0</v>
      </c>
      <c r="P5" s="107"/>
      <c r="Q5" s="108"/>
      <c r="R5" s="104"/>
      <c r="S5" s="163">
        <f>SUM((Taulukko1[[#This Row],[Kävijämäärä a) lapset]]+Taulukko1[[#This Row],[Kävijämäärä b) aikuiset]]))</f>
        <v>0</v>
      </c>
      <c r="T5" s="163">
        <f t="shared" ref="T5:T35" si="0">SUM(S5*P5)</f>
        <v>0</v>
      </c>
      <c r="U5" s="105" t="s">
        <v>41</v>
      </c>
      <c r="V5" s="105" t="s">
        <v>41</v>
      </c>
      <c r="W5" s="105" t="s">
        <v>41</v>
      </c>
      <c r="X5" s="116"/>
      <c r="Y5" s="104"/>
    </row>
    <row r="6" spans="1:25" ht="15.75" customHeight="1" x14ac:dyDescent="0.25">
      <c r="A6" s="104"/>
      <c r="B6" s="104"/>
      <c r="C6" s="161"/>
      <c r="D6" s="161"/>
      <c r="E6" s="105" t="s">
        <v>41</v>
      </c>
      <c r="F6" s="106" t="s">
        <v>41</v>
      </c>
      <c r="G6" s="106" t="s">
        <v>41</v>
      </c>
      <c r="H6" s="105" t="s">
        <v>41</v>
      </c>
      <c r="I6" s="106" t="s">
        <v>41</v>
      </c>
      <c r="J6" s="106" t="s">
        <v>41</v>
      </c>
      <c r="K6" s="104"/>
      <c r="L6" s="104"/>
      <c r="M6" s="104"/>
      <c r="N6" s="107"/>
      <c r="O6" s="162">
        <f>SUM(Taulukko1[[#This Row],[Tapahtumien määrä]])*(Taulukko1[[#This Row],[Tapaamiskerrat /lapsi]])*(Taulukko1[[#This Row],[Kesto (min) / tapaaminen]])</f>
        <v>0</v>
      </c>
      <c r="P6" s="107"/>
      <c r="Q6" s="108"/>
      <c r="R6" s="104"/>
      <c r="S6" s="163">
        <f>SUM((Taulukko1[[#This Row],[Kävijämäärä a) lapset]]+Taulukko1[[#This Row],[Kävijämäärä b) aikuiset]]))</f>
        <v>0</v>
      </c>
      <c r="T6" s="163">
        <f t="shared" si="0"/>
        <v>0</v>
      </c>
      <c r="U6" s="105" t="s">
        <v>41</v>
      </c>
      <c r="V6" s="105" t="s">
        <v>41</v>
      </c>
      <c r="W6" s="105" t="s">
        <v>41</v>
      </c>
      <c r="X6" s="116"/>
      <c r="Y6" s="104"/>
    </row>
    <row r="7" spans="1:25" ht="15.75" customHeight="1" x14ac:dyDescent="0.25">
      <c r="A7" s="104"/>
      <c r="B7" s="104"/>
      <c r="C7" s="161"/>
      <c r="D7" s="161"/>
      <c r="E7" s="105" t="s">
        <v>41</v>
      </c>
      <c r="F7" s="106" t="s">
        <v>41</v>
      </c>
      <c r="G7" s="106" t="s">
        <v>41</v>
      </c>
      <c r="H7" s="105" t="s">
        <v>41</v>
      </c>
      <c r="I7" s="106" t="s">
        <v>41</v>
      </c>
      <c r="J7" s="106" t="s">
        <v>41</v>
      </c>
      <c r="K7" s="104"/>
      <c r="L7" s="104"/>
      <c r="M7" s="104"/>
      <c r="N7" s="107"/>
      <c r="O7" s="162">
        <f>SUM(Taulukko1[[#This Row],[Tapahtumien määrä]])*(Taulukko1[[#This Row],[Tapaamiskerrat /lapsi]])*(Taulukko1[[#This Row],[Kesto (min) / tapaaminen]])</f>
        <v>0</v>
      </c>
      <c r="P7" s="107"/>
      <c r="Q7" s="108"/>
      <c r="R7" s="104"/>
      <c r="S7" s="163">
        <f>SUM((Taulukko1[[#This Row],[Kävijämäärä a) lapset]]+Taulukko1[[#This Row],[Kävijämäärä b) aikuiset]]))</f>
        <v>0</v>
      </c>
      <c r="T7" s="163">
        <f t="shared" si="0"/>
        <v>0</v>
      </c>
      <c r="U7" s="105" t="s">
        <v>41</v>
      </c>
      <c r="V7" s="105" t="s">
        <v>41</v>
      </c>
      <c r="W7" s="105" t="s">
        <v>41</v>
      </c>
      <c r="X7" s="116"/>
      <c r="Y7" s="104"/>
    </row>
    <row r="8" spans="1:25" ht="15.75" customHeight="1" x14ac:dyDescent="0.25">
      <c r="A8" s="104"/>
      <c r="B8" s="104"/>
      <c r="C8" s="161"/>
      <c r="D8" s="161"/>
      <c r="E8" s="105" t="s">
        <v>41</v>
      </c>
      <c r="F8" s="106" t="s">
        <v>41</v>
      </c>
      <c r="G8" s="106" t="s">
        <v>41</v>
      </c>
      <c r="H8" s="105" t="s">
        <v>41</v>
      </c>
      <c r="I8" s="106" t="s">
        <v>41</v>
      </c>
      <c r="J8" s="106" t="s">
        <v>41</v>
      </c>
      <c r="K8" s="104"/>
      <c r="L8" s="104"/>
      <c r="M8" s="104"/>
      <c r="N8" s="107"/>
      <c r="O8" s="162">
        <f>SUM(Taulukko1[[#This Row],[Tapahtumien määrä]])*(Taulukko1[[#This Row],[Tapaamiskerrat /lapsi]])*(Taulukko1[[#This Row],[Kesto (min) / tapaaminen]])</f>
        <v>0</v>
      </c>
      <c r="P8" s="107"/>
      <c r="Q8" s="108"/>
      <c r="R8" s="104"/>
      <c r="S8" s="163">
        <f>SUM((Taulukko1[[#This Row],[Kävijämäärä a) lapset]]+Taulukko1[[#This Row],[Kävijämäärä b) aikuiset]]))</f>
        <v>0</v>
      </c>
      <c r="T8" s="163">
        <f t="shared" si="0"/>
        <v>0</v>
      </c>
      <c r="U8" s="105" t="s">
        <v>41</v>
      </c>
      <c r="V8" s="105" t="s">
        <v>41</v>
      </c>
      <c r="W8" s="105" t="s">
        <v>41</v>
      </c>
      <c r="X8" s="116"/>
      <c r="Y8" s="104"/>
    </row>
    <row r="9" spans="1:25" ht="15.75" customHeight="1" x14ac:dyDescent="0.25">
      <c r="A9" s="104"/>
      <c r="B9" s="104"/>
      <c r="C9" s="161"/>
      <c r="D9" s="161"/>
      <c r="E9" s="105" t="s">
        <v>41</v>
      </c>
      <c r="F9" s="106" t="s">
        <v>41</v>
      </c>
      <c r="G9" s="106" t="s">
        <v>41</v>
      </c>
      <c r="H9" s="105" t="s">
        <v>41</v>
      </c>
      <c r="I9" s="106" t="s">
        <v>41</v>
      </c>
      <c r="J9" s="106" t="s">
        <v>41</v>
      </c>
      <c r="K9" s="104"/>
      <c r="L9" s="104"/>
      <c r="M9" s="104"/>
      <c r="N9" s="107"/>
      <c r="O9" s="162">
        <f>SUM(Taulukko1[[#This Row],[Tapahtumien määrä]])*(Taulukko1[[#This Row],[Tapaamiskerrat /lapsi]])*(Taulukko1[[#This Row],[Kesto (min) / tapaaminen]])</f>
        <v>0</v>
      </c>
      <c r="P9" s="107"/>
      <c r="Q9" s="108"/>
      <c r="R9" s="104"/>
      <c r="S9" s="163">
        <f>SUM((Taulukko1[[#This Row],[Kävijämäärä a) lapset]]+Taulukko1[[#This Row],[Kävijämäärä b) aikuiset]]))</f>
        <v>0</v>
      </c>
      <c r="T9" s="163">
        <f>SUM(S9*P9)</f>
        <v>0</v>
      </c>
      <c r="U9" s="105" t="s">
        <v>41</v>
      </c>
      <c r="V9" s="105" t="s">
        <v>41</v>
      </c>
      <c r="W9" s="105" t="s">
        <v>41</v>
      </c>
      <c r="X9" s="116"/>
      <c r="Y9" s="104"/>
    </row>
    <row r="10" spans="1:25" ht="15.75" customHeight="1" x14ac:dyDescent="0.25">
      <c r="A10" s="104"/>
      <c r="B10" s="104"/>
      <c r="C10" s="161"/>
      <c r="D10" s="161"/>
      <c r="E10" s="105" t="s">
        <v>41</v>
      </c>
      <c r="F10" s="106" t="s">
        <v>41</v>
      </c>
      <c r="G10" s="106" t="s">
        <v>41</v>
      </c>
      <c r="H10" s="105" t="s">
        <v>41</v>
      </c>
      <c r="I10" s="106" t="s">
        <v>41</v>
      </c>
      <c r="J10" s="106" t="s">
        <v>41</v>
      </c>
      <c r="K10" s="104"/>
      <c r="L10" s="104"/>
      <c r="M10" s="104"/>
      <c r="N10" s="107"/>
      <c r="O10" s="162">
        <f>SUM(Taulukko1[[#This Row],[Tapahtumien määrä]])*(Taulukko1[[#This Row],[Tapaamiskerrat /lapsi]])*(Taulukko1[[#This Row],[Kesto (min) / tapaaminen]])</f>
        <v>0</v>
      </c>
      <c r="P10" s="107"/>
      <c r="Q10" s="108"/>
      <c r="R10" s="104"/>
      <c r="S10" s="163">
        <f>SUM((Taulukko1[[#This Row],[Kävijämäärä a) lapset]]+Taulukko1[[#This Row],[Kävijämäärä b) aikuiset]]))</f>
        <v>0</v>
      </c>
      <c r="T10" s="163">
        <f t="shared" si="0"/>
        <v>0</v>
      </c>
      <c r="U10" s="105" t="s">
        <v>41</v>
      </c>
      <c r="V10" s="105" t="s">
        <v>41</v>
      </c>
      <c r="W10" s="105" t="s">
        <v>41</v>
      </c>
      <c r="X10" s="116"/>
      <c r="Y10" s="104"/>
    </row>
    <row r="11" spans="1:25" ht="15.75" customHeight="1" x14ac:dyDescent="0.25">
      <c r="A11" s="104"/>
      <c r="B11" s="104"/>
      <c r="C11" s="161"/>
      <c r="D11" s="161"/>
      <c r="E11" s="105" t="s">
        <v>41</v>
      </c>
      <c r="F11" s="106" t="s">
        <v>41</v>
      </c>
      <c r="G11" s="106" t="s">
        <v>41</v>
      </c>
      <c r="H11" s="105" t="s">
        <v>41</v>
      </c>
      <c r="I11" s="106" t="s">
        <v>41</v>
      </c>
      <c r="J11" s="106" t="s">
        <v>41</v>
      </c>
      <c r="K11" s="104"/>
      <c r="L11" s="104"/>
      <c r="M11" s="104"/>
      <c r="N11" s="107"/>
      <c r="O11" s="162">
        <f>SUM(Taulukko1[[#This Row],[Tapahtumien määrä]])*(Taulukko1[[#This Row],[Tapaamiskerrat /lapsi]])*(Taulukko1[[#This Row],[Kesto (min) / tapaaminen]])</f>
        <v>0</v>
      </c>
      <c r="P11" s="107"/>
      <c r="Q11" s="108"/>
      <c r="R11" s="104"/>
      <c r="S11" s="163">
        <f>SUM((Taulukko1[[#This Row],[Kävijämäärä a) lapset]]+Taulukko1[[#This Row],[Kävijämäärä b) aikuiset]]))</f>
        <v>0</v>
      </c>
      <c r="T11" s="163">
        <f t="shared" si="0"/>
        <v>0</v>
      </c>
      <c r="U11" s="105" t="s">
        <v>41</v>
      </c>
      <c r="V11" s="105" t="s">
        <v>41</v>
      </c>
      <c r="W11" s="105" t="s">
        <v>41</v>
      </c>
      <c r="X11" s="116"/>
      <c r="Y11" s="104"/>
    </row>
    <row r="12" spans="1:25" ht="15.75" customHeight="1" x14ac:dyDescent="0.25">
      <c r="A12" s="104"/>
      <c r="B12" s="104"/>
      <c r="C12" s="161"/>
      <c r="D12" s="161"/>
      <c r="E12" s="105" t="s">
        <v>41</v>
      </c>
      <c r="F12" s="106" t="s">
        <v>41</v>
      </c>
      <c r="G12" s="106" t="s">
        <v>41</v>
      </c>
      <c r="H12" s="105" t="s">
        <v>41</v>
      </c>
      <c r="I12" s="106" t="s">
        <v>41</v>
      </c>
      <c r="J12" s="106" t="s">
        <v>41</v>
      </c>
      <c r="K12" s="104"/>
      <c r="L12" s="104"/>
      <c r="M12" s="104"/>
      <c r="N12" s="107"/>
      <c r="O12" s="162">
        <f>SUM(Taulukko1[[#This Row],[Tapahtumien määrä]])*(Taulukko1[[#This Row],[Tapaamiskerrat /lapsi]])*(Taulukko1[[#This Row],[Kesto (min) / tapaaminen]])</f>
        <v>0</v>
      </c>
      <c r="P12" s="107"/>
      <c r="Q12" s="108"/>
      <c r="R12" s="104"/>
      <c r="S12" s="163">
        <f>SUM((Taulukko1[[#This Row],[Kävijämäärä a) lapset]]+Taulukko1[[#This Row],[Kävijämäärä b) aikuiset]]))</f>
        <v>0</v>
      </c>
      <c r="T12" s="163">
        <f t="shared" si="0"/>
        <v>0</v>
      </c>
      <c r="U12" s="105" t="s">
        <v>41</v>
      </c>
      <c r="V12" s="105" t="s">
        <v>41</v>
      </c>
      <c r="W12" s="105" t="s">
        <v>41</v>
      </c>
      <c r="X12" s="116"/>
      <c r="Y12" s="104"/>
    </row>
    <row r="13" spans="1:25" ht="15.75" customHeight="1" x14ac:dyDescent="0.25">
      <c r="A13" s="104"/>
      <c r="B13" s="104"/>
      <c r="C13" s="161"/>
      <c r="D13" s="161"/>
      <c r="E13" s="105" t="s">
        <v>41</v>
      </c>
      <c r="F13" s="106" t="s">
        <v>41</v>
      </c>
      <c r="G13" s="106" t="s">
        <v>41</v>
      </c>
      <c r="H13" s="105" t="s">
        <v>41</v>
      </c>
      <c r="I13" s="106" t="s">
        <v>41</v>
      </c>
      <c r="J13" s="106" t="s">
        <v>41</v>
      </c>
      <c r="K13" s="104"/>
      <c r="L13" s="104"/>
      <c r="M13" s="104"/>
      <c r="N13" s="107"/>
      <c r="O13" s="162">
        <f>SUM(Taulukko1[[#This Row],[Tapahtumien määrä]])*(Taulukko1[[#This Row],[Tapaamiskerrat /lapsi]])*(Taulukko1[[#This Row],[Kesto (min) / tapaaminen]])</f>
        <v>0</v>
      </c>
      <c r="P13" s="107"/>
      <c r="Q13" s="108"/>
      <c r="R13" s="104"/>
      <c r="S13" s="163">
        <f>SUM((Taulukko1[[#This Row],[Kävijämäärä a) lapset]]+Taulukko1[[#This Row],[Kävijämäärä b) aikuiset]]))</f>
        <v>0</v>
      </c>
      <c r="T13" s="163">
        <f t="shared" si="0"/>
        <v>0</v>
      </c>
      <c r="U13" s="105" t="s">
        <v>41</v>
      </c>
      <c r="V13" s="105" t="s">
        <v>41</v>
      </c>
      <c r="W13" s="105" t="s">
        <v>41</v>
      </c>
      <c r="X13" s="116"/>
      <c r="Y13" s="104"/>
    </row>
    <row r="14" spans="1:25" ht="15.75" customHeight="1" x14ac:dyDescent="0.25">
      <c r="A14" s="104"/>
      <c r="B14" s="104"/>
      <c r="C14" s="161"/>
      <c r="D14" s="161"/>
      <c r="E14" s="105" t="s">
        <v>41</v>
      </c>
      <c r="F14" s="106" t="s">
        <v>41</v>
      </c>
      <c r="G14" s="106" t="s">
        <v>41</v>
      </c>
      <c r="H14" s="105" t="s">
        <v>41</v>
      </c>
      <c r="I14" s="106" t="s">
        <v>41</v>
      </c>
      <c r="J14" s="106" t="s">
        <v>41</v>
      </c>
      <c r="K14" s="104"/>
      <c r="L14" s="104"/>
      <c r="M14" s="104"/>
      <c r="N14" s="107"/>
      <c r="O14" s="162">
        <f>SUM(Taulukko1[[#This Row],[Tapahtumien määrä]])*(Taulukko1[[#This Row],[Tapaamiskerrat /lapsi]])*(Taulukko1[[#This Row],[Kesto (min) / tapaaminen]])</f>
        <v>0</v>
      </c>
      <c r="P14" s="107"/>
      <c r="Q14" s="108"/>
      <c r="R14" s="104"/>
      <c r="S14" s="163">
        <f>SUM((Taulukko1[[#This Row],[Kävijämäärä a) lapset]]+Taulukko1[[#This Row],[Kävijämäärä b) aikuiset]]))</f>
        <v>0</v>
      </c>
      <c r="T14" s="163">
        <f t="shared" si="0"/>
        <v>0</v>
      </c>
      <c r="U14" s="105" t="s">
        <v>41</v>
      </c>
      <c r="V14" s="105" t="s">
        <v>41</v>
      </c>
      <c r="W14" s="105" t="s">
        <v>41</v>
      </c>
      <c r="X14" s="116"/>
      <c r="Y14" s="104"/>
    </row>
    <row r="15" spans="1:25" ht="15.75" customHeight="1" x14ac:dyDescent="0.25">
      <c r="A15" s="104"/>
      <c r="B15" s="104"/>
      <c r="C15" s="161"/>
      <c r="D15" s="161"/>
      <c r="E15" s="105" t="s">
        <v>41</v>
      </c>
      <c r="F15" s="106" t="s">
        <v>41</v>
      </c>
      <c r="G15" s="106" t="s">
        <v>41</v>
      </c>
      <c r="H15" s="105" t="s">
        <v>41</v>
      </c>
      <c r="I15" s="106" t="s">
        <v>41</v>
      </c>
      <c r="J15" s="106" t="s">
        <v>41</v>
      </c>
      <c r="K15" s="104"/>
      <c r="L15" s="104"/>
      <c r="M15" s="104"/>
      <c r="N15" s="107"/>
      <c r="O15" s="162">
        <f>SUM(Taulukko1[[#This Row],[Tapahtumien määrä]])*(Taulukko1[[#This Row],[Tapaamiskerrat /lapsi]])*(Taulukko1[[#This Row],[Kesto (min) / tapaaminen]])</f>
        <v>0</v>
      </c>
      <c r="P15" s="107"/>
      <c r="Q15" s="108"/>
      <c r="R15" s="104"/>
      <c r="S15" s="163">
        <f>SUM((Taulukko1[[#This Row],[Kävijämäärä a) lapset]]+Taulukko1[[#This Row],[Kävijämäärä b) aikuiset]]))</f>
        <v>0</v>
      </c>
      <c r="T15" s="163">
        <f t="shared" si="0"/>
        <v>0</v>
      </c>
      <c r="U15" s="105" t="s">
        <v>41</v>
      </c>
      <c r="V15" s="105" t="s">
        <v>41</v>
      </c>
      <c r="W15" s="105" t="s">
        <v>41</v>
      </c>
      <c r="X15" s="116"/>
      <c r="Y15" s="104"/>
    </row>
    <row r="16" spans="1:25" ht="15.75" customHeight="1" x14ac:dyDescent="0.25">
      <c r="A16" s="104"/>
      <c r="B16" s="104"/>
      <c r="C16" s="161"/>
      <c r="D16" s="161"/>
      <c r="E16" s="105" t="s">
        <v>41</v>
      </c>
      <c r="F16" s="106" t="s">
        <v>41</v>
      </c>
      <c r="G16" s="106" t="s">
        <v>41</v>
      </c>
      <c r="H16" s="105" t="s">
        <v>41</v>
      </c>
      <c r="I16" s="106" t="s">
        <v>41</v>
      </c>
      <c r="J16" s="106" t="s">
        <v>41</v>
      </c>
      <c r="K16" s="104"/>
      <c r="L16" s="104"/>
      <c r="M16" s="104"/>
      <c r="N16" s="107"/>
      <c r="O16" s="162">
        <f>SUM(Taulukko1[[#This Row],[Tapahtumien määrä]])*(Taulukko1[[#This Row],[Tapaamiskerrat /lapsi]])*(Taulukko1[[#This Row],[Kesto (min) / tapaaminen]])</f>
        <v>0</v>
      </c>
      <c r="P16" s="107"/>
      <c r="Q16" s="108"/>
      <c r="R16" s="104"/>
      <c r="S16" s="163">
        <f>SUM((Taulukko1[[#This Row],[Kävijämäärä a) lapset]]+Taulukko1[[#This Row],[Kävijämäärä b) aikuiset]]))</f>
        <v>0</v>
      </c>
      <c r="T16" s="163">
        <f t="shared" si="0"/>
        <v>0</v>
      </c>
      <c r="U16" s="105" t="s">
        <v>41</v>
      </c>
      <c r="V16" s="105" t="s">
        <v>41</v>
      </c>
      <c r="W16" s="105" t="s">
        <v>41</v>
      </c>
      <c r="X16" s="116"/>
      <c r="Y16" s="104"/>
    </row>
    <row r="17" spans="1:25" x14ac:dyDescent="0.25">
      <c r="A17" s="104"/>
      <c r="B17" s="104"/>
      <c r="C17" s="161"/>
      <c r="D17" s="161"/>
      <c r="E17" s="105" t="s">
        <v>41</v>
      </c>
      <c r="F17" s="106" t="s">
        <v>41</v>
      </c>
      <c r="G17" s="106" t="s">
        <v>41</v>
      </c>
      <c r="H17" s="105" t="s">
        <v>41</v>
      </c>
      <c r="I17" s="106" t="s">
        <v>41</v>
      </c>
      <c r="J17" s="106" t="s">
        <v>41</v>
      </c>
      <c r="K17" s="104"/>
      <c r="L17" s="104"/>
      <c r="M17" s="104"/>
      <c r="N17" s="107"/>
      <c r="O17" s="162">
        <f>SUM(Taulukko1[[#This Row],[Tapahtumien määrä]])*(Taulukko1[[#This Row],[Tapaamiskerrat /lapsi]])*(Taulukko1[[#This Row],[Kesto (min) / tapaaminen]])</f>
        <v>0</v>
      </c>
      <c r="P17" s="107"/>
      <c r="Q17" s="108"/>
      <c r="R17" s="104"/>
      <c r="S17" s="163">
        <f>SUM((Taulukko1[[#This Row],[Kävijämäärä a) lapset]]+Taulukko1[[#This Row],[Kävijämäärä b) aikuiset]]))</f>
        <v>0</v>
      </c>
      <c r="T17" s="163">
        <f t="shared" si="0"/>
        <v>0</v>
      </c>
      <c r="U17" s="105" t="s">
        <v>41</v>
      </c>
      <c r="V17" s="105" t="s">
        <v>41</v>
      </c>
      <c r="W17" s="105" t="s">
        <v>41</v>
      </c>
      <c r="X17" s="116"/>
      <c r="Y17" s="104"/>
    </row>
    <row r="18" spans="1:25" ht="17.25" customHeight="1" x14ac:dyDescent="0.25">
      <c r="A18" s="104"/>
      <c r="B18" s="104"/>
      <c r="C18" s="161"/>
      <c r="D18" s="161"/>
      <c r="E18" s="105" t="s">
        <v>41</v>
      </c>
      <c r="F18" s="106" t="s">
        <v>41</v>
      </c>
      <c r="G18" s="106" t="s">
        <v>41</v>
      </c>
      <c r="H18" s="105" t="s">
        <v>41</v>
      </c>
      <c r="I18" s="106" t="s">
        <v>41</v>
      </c>
      <c r="J18" s="106" t="s">
        <v>41</v>
      </c>
      <c r="K18" s="104"/>
      <c r="L18" s="104"/>
      <c r="M18" s="104"/>
      <c r="N18" s="107"/>
      <c r="O18" s="162">
        <f>SUM(Taulukko1[[#This Row],[Tapahtumien määrä]])*(Taulukko1[[#This Row],[Tapaamiskerrat /lapsi]])*(Taulukko1[[#This Row],[Kesto (min) / tapaaminen]])</f>
        <v>0</v>
      </c>
      <c r="P18" s="107"/>
      <c r="Q18" s="108"/>
      <c r="R18" s="104"/>
      <c r="S18" s="163">
        <f>SUM((Taulukko1[[#This Row],[Kävijämäärä a) lapset]]+Taulukko1[[#This Row],[Kävijämäärä b) aikuiset]]))</f>
        <v>0</v>
      </c>
      <c r="T18" s="163">
        <f t="shared" si="0"/>
        <v>0</v>
      </c>
      <c r="U18" s="105" t="s">
        <v>41</v>
      </c>
      <c r="V18" s="105" t="s">
        <v>41</v>
      </c>
      <c r="W18" s="105" t="s">
        <v>41</v>
      </c>
      <c r="X18" s="116"/>
      <c r="Y18" s="104"/>
    </row>
    <row r="19" spans="1:25" x14ac:dyDescent="0.25">
      <c r="A19" s="104"/>
      <c r="B19" s="104"/>
      <c r="C19" s="161"/>
      <c r="D19" s="161"/>
      <c r="E19" s="105" t="s">
        <v>41</v>
      </c>
      <c r="F19" s="106" t="s">
        <v>41</v>
      </c>
      <c r="G19" s="106" t="s">
        <v>41</v>
      </c>
      <c r="H19" s="105" t="s">
        <v>41</v>
      </c>
      <c r="I19" s="106" t="s">
        <v>41</v>
      </c>
      <c r="J19" s="106" t="s">
        <v>41</v>
      </c>
      <c r="K19" s="104"/>
      <c r="L19" s="104"/>
      <c r="M19" s="104"/>
      <c r="N19" s="107"/>
      <c r="O19" s="162">
        <f>SUM(Taulukko1[[#This Row],[Tapahtumien määrä]])*(Taulukko1[[#This Row],[Tapaamiskerrat /lapsi]])*(Taulukko1[[#This Row],[Kesto (min) / tapaaminen]])</f>
        <v>0</v>
      </c>
      <c r="P19" s="107"/>
      <c r="Q19" s="108"/>
      <c r="R19" s="104"/>
      <c r="S19" s="163">
        <f>SUM((Taulukko1[[#This Row],[Kävijämäärä a) lapset]]+Taulukko1[[#This Row],[Kävijämäärä b) aikuiset]]))</f>
        <v>0</v>
      </c>
      <c r="T19" s="163">
        <f t="shared" si="0"/>
        <v>0</v>
      </c>
      <c r="U19" s="105" t="s">
        <v>41</v>
      </c>
      <c r="V19" s="105" t="s">
        <v>41</v>
      </c>
      <c r="W19" s="105" t="s">
        <v>41</v>
      </c>
      <c r="X19" s="116"/>
      <c r="Y19" s="104"/>
    </row>
    <row r="20" spans="1:25" x14ac:dyDescent="0.25">
      <c r="A20" s="104"/>
      <c r="B20" s="104"/>
      <c r="C20" s="161"/>
      <c r="D20" s="161"/>
      <c r="E20" s="105" t="s">
        <v>41</v>
      </c>
      <c r="F20" s="106" t="s">
        <v>41</v>
      </c>
      <c r="G20" s="106" t="s">
        <v>41</v>
      </c>
      <c r="H20" s="105" t="s">
        <v>41</v>
      </c>
      <c r="I20" s="106" t="s">
        <v>41</v>
      </c>
      <c r="J20" s="106" t="s">
        <v>41</v>
      </c>
      <c r="K20" s="104"/>
      <c r="L20" s="104"/>
      <c r="M20" s="104"/>
      <c r="N20" s="107"/>
      <c r="O20" s="162">
        <f>SUM(Taulukko1[[#This Row],[Tapahtumien määrä]])*(Taulukko1[[#This Row],[Tapaamiskerrat /lapsi]])*(Taulukko1[[#This Row],[Kesto (min) / tapaaminen]])</f>
        <v>0</v>
      </c>
      <c r="P20" s="107"/>
      <c r="Q20" s="108"/>
      <c r="R20" s="104"/>
      <c r="S20" s="163">
        <f>SUM((Taulukko1[[#This Row],[Kävijämäärä a) lapset]]+Taulukko1[[#This Row],[Kävijämäärä b) aikuiset]]))</f>
        <v>0</v>
      </c>
      <c r="T20" s="163">
        <f t="shared" si="0"/>
        <v>0</v>
      </c>
      <c r="U20" s="105" t="s">
        <v>41</v>
      </c>
      <c r="V20" s="105" t="s">
        <v>41</v>
      </c>
      <c r="W20" s="105" t="s">
        <v>41</v>
      </c>
      <c r="X20" s="116"/>
      <c r="Y20" s="104"/>
    </row>
    <row r="21" spans="1:25" x14ac:dyDescent="0.25">
      <c r="A21" s="104"/>
      <c r="B21" s="104"/>
      <c r="C21" s="161"/>
      <c r="D21" s="161"/>
      <c r="E21" s="105" t="s">
        <v>41</v>
      </c>
      <c r="F21" s="106" t="s">
        <v>41</v>
      </c>
      <c r="G21" s="106" t="s">
        <v>41</v>
      </c>
      <c r="H21" s="105" t="s">
        <v>41</v>
      </c>
      <c r="I21" s="106" t="s">
        <v>41</v>
      </c>
      <c r="J21" s="106" t="s">
        <v>41</v>
      </c>
      <c r="K21" s="104"/>
      <c r="L21" s="104"/>
      <c r="M21" s="104"/>
      <c r="N21" s="107"/>
      <c r="O21" s="162">
        <f>SUM(Taulukko1[[#This Row],[Tapahtumien määrä]])*(Taulukko1[[#This Row],[Tapaamiskerrat /lapsi]])*(Taulukko1[[#This Row],[Kesto (min) / tapaaminen]])</f>
        <v>0</v>
      </c>
      <c r="P21" s="107"/>
      <c r="Q21" s="108"/>
      <c r="R21" s="104"/>
      <c r="S21" s="163">
        <f>SUM((Taulukko1[[#This Row],[Kävijämäärä a) lapset]]+Taulukko1[[#This Row],[Kävijämäärä b) aikuiset]]))</f>
        <v>0</v>
      </c>
      <c r="T21" s="163">
        <f t="shared" si="0"/>
        <v>0</v>
      </c>
      <c r="U21" s="105" t="s">
        <v>41</v>
      </c>
      <c r="V21" s="105" t="s">
        <v>41</v>
      </c>
      <c r="W21" s="105" t="s">
        <v>41</v>
      </c>
      <c r="X21" s="116"/>
      <c r="Y21" s="104"/>
    </row>
    <row r="22" spans="1:25" x14ac:dyDescent="0.25">
      <c r="A22" s="104"/>
      <c r="B22" s="104"/>
      <c r="C22" s="161"/>
      <c r="D22" s="161"/>
      <c r="E22" s="105" t="s">
        <v>41</v>
      </c>
      <c r="F22" s="106" t="s">
        <v>41</v>
      </c>
      <c r="G22" s="106" t="s">
        <v>41</v>
      </c>
      <c r="H22" s="105" t="s">
        <v>41</v>
      </c>
      <c r="I22" s="106" t="s">
        <v>41</v>
      </c>
      <c r="J22" s="106" t="s">
        <v>41</v>
      </c>
      <c r="K22" s="104"/>
      <c r="L22" s="104"/>
      <c r="M22" s="104"/>
      <c r="N22" s="107"/>
      <c r="O22" s="162">
        <f>SUM(Taulukko1[[#This Row],[Tapahtumien määrä]])*(Taulukko1[[#This Row],[Tapaamiskerrat /lapsi]])*(Taulukko1[[#This Row],[Kesto (min) / tapaaminen]])</f>
        <v>0</v>
      </c>
      <c r="P22" s="107"/>
      <c r="Q22" s="108"/>
      <c r="R22" s="104"/>
      <c r="S22" s="163">
        <f>SUM((Taulukko1[[#This Row],[Kävijämäärä a) lapset]]+Taulukko1[[#This Row],[Kävijämäärä b) aikuiset]]))</f>
        <v>0</v>
      </c>
      <c r="T22" s="162">
        <f t="shared" si="0"/>
        <v>0</v>
      </c>
      <c r="U22" s="105" t="s">
        <v>41</v>
      </c>
      <c r="V22" s="105" t="s">
        <v>41</v>
      </c>
      <c r="W22" s="105" t="s">
        <v>41</v>
      </c>
      <c r="X22" s="116"/>
      <c r="Y22" s="104"/>
    </row>
    <row r="23" spans="1:25" x14ac:dyDescent="0.25">
      <c r="A23" s="104"/>
      <c r="B23" s="104"/>
      <c r="C23" s="161"/>
      <c r="D23" s="161"/>
      <c r="E23" s="105" t="s">
        <v>41</v>
      </c>
      <c r="F23" s="106" t="s">
        <v>41</v>
      </c>
      <c r="G23" s="106" t="s">
        <v>41</v>
      </c>
      <c r="H23" s="105" t="s">
        <v>41</v>
      </c>
      <c r="I23" s="106" t="s">
        <v>41</v>
      </c>
      <c r="J23" s="106" t="s">
        <v>41</v>
      </c>
      <c r="K23" s="104"/>
      <c r="L23" s="104"/>
      <c r="M23" s="104"/>
      <c r="N23" s="107"/>
      <c r="O23" s="162">
        <f>SUM(Taulukko1[[#This Row],[Tapahtumien määrä]])*(Taulukko1[[#This Row],[Tapaamiskerrat /lapsi]])*(Taulukko1[[#This Row],[Kesto (min) / tapaaminen]])</f>
        <v>0</v>
      </c>
      <c r="P23" s="107"/>
      <c r="Q23" s="108"/>
      <c r="R23" s="104"/>
      <c r="S23" s="163">
        <f>SUM((Taulukko1[[#This Row],[Kävijämäärä a) lapset]]+Taulukko1[[#This Row],[Kävijämäärä b) aikuiset]]))</f>
        <v>0</v>
      </c>
      <c r="T23" s="163">
        <f t="shared" si="0"/>
        <v>0</v>
      </c>
      <c r="U23" s="105" t="s">
        <v>41</v>
      </c>
      <c r="V23" s="105" t="s">
        <v>41</v>
      </c>
      <c r="W23" s="105" t="s">
        <v>41</v>
      </c>
      <c r="X23" s="116"/>
      <c r="Y23" s="104"/>
    </row>
    <row r="24" spans="1:25" x14ac:dyDescent="0.25">
      <c r="A24" s="104"/>
      <c r="B24" s="104"/>
      <c r="C24" s="161"/>
      <c r="D24" s="161"/>
      <c r="E24" s="105" t="s">
        <v>41</v>
      </c>
      <c r="F24" s="106" t="s">
        <v>41</v>
      </c>
      <c r="G24" s="106" t="s">
        <v>41</v>
      </c>
      <c r="H24" s="105" t="s">
        <v>41</v>
      </c>
      <c r="I24" s="106" t="s">
        <v>41</v>
      </c>
      <c r="J24" s="106" t="s">
        <v>41</v>
      </c>
      <c r="K24" s="104"/>
      <c r="L24" s="104"/>
      <c r="M24" s="104"/>
      <c r="N24" s="107"/>
      <c r="O24" s="162">
        <f>SUM(Taulukko1[[#This Row],[Tapahtumien määrä]])*(Taulukko1[[#This Row],[Tapaamiskerrat /lapsi]])*(Taulukko1[[#This Row],[Kesto (min) / tapaaminen]])</f>
        <v>0</v>
      </c>
      <c r="P24" s="107"/>
      <c r="Q24" s="108"/>
      <c r="R24" s="104"/>
      <c r="S24" s="163">
        <f>SUM((Taulukko1[[#This Row],[Kävijämäärä a) lapset]]+Taulukko1[[#This Row],[Kävijämäärä b) aikuiset]]))</f>
        <v>0</v>
      </c>
      <c r="T24" s="163">
        <f t="shared" si="0"/>
        <v>0</v>
      </c>
      <c r="U24" s="105" t="s">
        <v>41</v>
      </c>
      <c r="V24" s="105" t="s">
        <v>41</v>
      </c>
      <c r="W24" s="105" t="s">
        <v>41</v>
      </c>
      <c r="X24" s="116"/>
      <c r="Y24" s="104"/>
    </row>
    <row r="25" spans="1:25" x14ac:dyDescent="0.25">
      <c r="A25" s="104"/>
      <c r="B25" s="104"/>
      <c r="C25" s="161"/>
      <c r="D25" s="161"/>
      <c r="E25" s="105" t="s">
        <v>41</v>
      </c>
      <c r="F25" s="106" t="s">
        <v>41</v>
      </c>
      <c r="G25" s="106" t="s">
        <v>41</v>
      </c>
      <c r="H25" s="105" t="s">
        <v>41</v>
      </c>
      <c r="I25" s="106" t="s">
        <v>41</v>
      </c>
      <c r="J25" s="106" t="s">
        <v>41</v>
      </c>
      <c r="K25" s="109"/>
      <c r="L25" s="104"/>
      <c r="M25" s="104"/>
      <c r="N25" s="107"/>
      <c r="O25" s="162">
        <f>SUM(Taulukko1[[#This Row],[Tapahtumien määrä]])*(Taulukko1[[#This Row],[Tapaamiskerrat /lapsi]])*(Taulukko1[[#This Row],[Kesto (min) / tapaaminen]])</f>
        <v>0</v>
      </c>
      <c r="P25" s="107"/>
      <c r="Q25" s="108"/>
      <c r="R25" s="104"/>
      <c r="S25" s="163">
        <f>SUM((Taulukko1[[#This Row],[Kävijämäärä a) lapset]]+Taulukko1[[#This Row],[Kävijämäärä b) aikuiset]]))</f>
        <v>0</v>
      </c>
      <c r="T25" s="162">
        <f t="shared" si="0"/>
        <v>0</v>
      </c>
      <c r="U25" s="105" t="s">
        <v>41</v>
      </c>
      <c r="V25" s="105" t="s">
        <v>41</v>
      </c>
      <c r="W25" s="105" t="s">
        <v>41</v>
      </c>
      <c r="X25" s="116"/>
      <c r="Y25" s="109"/>
    </row>
    <row r="26" spans="1:25" x14ac:dyDescent="0.25">
      <c r="A26" s="104"/>
      <c r="B26" s="104"/>
      <c r="C26" s="161"/>
      <c r="D26" s="161"/>
      <c r="E26" s="105" t="s">
        <v>41</v>
      </c>
      <c r="F26" s="106" t="s">
        <v>41</v>
      </c>
      <c r="G26" s="106" t="s">
        <v>41</v>
      </c>
      <c r="H26" s="105" t="s">
        <v>41</v>
      </c>
      <c r="I26" s="106" t="s">
        <v>41</v>
      </c>
      <c r="J26" s="106" t="s">
        <v>41</v>
      </c>
      <c r="K26" s="109"/>
      <c r="L26" s="104"/>
      <c r="M26" s="104"/>
      <c r="N26" s="107"/>
      <c r="O26" s="162">
        <f>SUM(Taulukko1[[#This Row],[Tapahtumien määrä]])*(Taulukko1[[#This Row],[Tapaamiskerrat /lapsi]])*(Taulukko1[[#This Row],[Kesto (min) / tapaaminen]])</f>
        <v>0</v>
      </c>
      <c r="P26" s="107"/>
      <c r="Q26" s="108"/>
      <c r="R26" s="104"/>
      <c r="S26" s="163">
        <f>SUM((Taulukko1[[#This Row],[Kävijämäärä a) lapset]]+Taulukko1[[#This Row],[Kävijämäärä b) aikuiset]]))</f>
        <v>0</v>
      </c>
      <c r="T26" s="163">
        <f t="shared" si="0"/>
        <v>0</v>
      </c>
      <c r="U26" s="105" t="s">
        <v>41</v>
      </c>
      <c r="V26" s="105" t="s">
        <v>41</v>
      </c>
      <c r="W26" s="105" t="s">
        <v>41</v>
      </c>
      <c r="X26" s="116"/>
      <c r="Y26" s="109"/>
    </row>
    <row r="27" spans="1:25" x14ac:dyDescent="0.25">
      <c r="A27" s="104"/>
      <c r="B27" s="104"/>
      <c r="C27" s="161"/>
      <c r="D27" s="161"/>
      <c r="E27" s="105" t="s">
        <v>41</v>
      </c>
      <c r="F27" s="106" t="s">
        <v>41</v>
      </c>
      <c r="G27" s="106" t="s">
        <v>41</v>
      </c>
      <c r="H27" s="105" t="s">
        <v>41</v>
      </c>
      <c r="I27" s="106" t="s">
        <v>41</v>
      </c>
      <c r="J27" s="106" t="s">
        <v>41</v>
      </c>
      <c r="K27" s="109"/>
      <c r="L27" s="104"/>
      <c r="M27" s="104"/>
      <c r="N27" s="107"/>
      <c r="O27" s="162">
        <f>SUM(Taulukko1[[#This Row],[Tapahtumien määrä]])*(Taulukko1[[#This Row],[Tapaamiskerrat /lapsi]])*(Taulukko1[[#This Row],[Kesto (min) / tapaaminen]])</f>
        <v>0</v>
      </c>
      <c r="P27" s="107"/>
      <c r="Q27" s="108"/>
      <c r="R27" s="104"/>
      <c r="S27" s="163">
        <f>SUM((Taulukko1[[#This Row],[Kävijämäärä a) lapset]]+Taulukko1[[#This Row],[Kävijämäärä b) aikuiset]]))</f>
        <v>0</v>
      </c>
      <c r="T27" s="163">
        <f t="shared" si="0"/>
        <v>0</v>
      </c>
      <c r="U27" s="105" t="s">
        <v>41</v>
      </c>
      <c r="V27" s="105" t="s">
        <v>41</v>
      </c>
      <c r="W27" s="105" t="s">
        <v>41</v>
      </c>
      <c r="X27" s="116"/>
      <c r="Y27" s="109"/>
    </row>
    <row r="28" spans="1:25" x14ac:dyDescent="0.25">
      <c r="A28" s="104"/>
      <c r="B28" s="104"/>
      <c r="C28" s="161"/>
      <c r="D28" s="161"/>
      <c r="E28" s="105" t="s">
        <v>41</v>
      </c>
      <c r="F28" s="106" t="s">
        <v>41</v>
      </c>
      <c r="G28" s="106" t="s">
        <v>41</v>
      </c>
      <c r="H28" s="105" t="s">
        <v>41</v>
      </c>
      <c r="I28" s="106" t="s">
        <v>41</v>
      </c>
      <c r="J28" s="106" t="s">
        <v>41</v>
      </c>
      <c r="K28" s="109"/>
      <c r="L28" s="104"/>
      <c r="M28" s="104"/>
      <c r="N28" s="107"/>
      <c r="O28" s="162">
        <f>SUM(Taulukko1[[#This Row],[Tapahtumien määrä]])*(Taulukko1[[#This Row],[Tapaamiskerrat /lapsi]])*(Taulukko1[[#This Row],[Kesto (min) / tapaaminen]])</f>
        <v>0</v>
      </c>
      <c r="P28" s="107"/>
      <c r="Q28" s="108"/>
      <c r="R28" s="104"/>
      <c r="S28" s="163">
        <f>SUM((Taulukko1[[#This Row],[Kävijämäärä a) lapset]]+Taulukko1[[#This Row],[Kävijämäärä b) aikuiset]]))</f>
        <v>0</v>
      </c>
      <c r="T28" s="163">
        <f t="shared" si="0"/>
        <v>0</v>
      </c>
      <c r="U28" s="105" t="s">
        <v>41</v>
      </c>
      <c r="V28" s="105" t="s">
        <v>41</v>
      </c>
      <c r="W28" s="105" t="s">
        <v>41</v>
      </c>
      <c r="X28" s="116"/>
      <c r="Y28" s="109"/>
    </row>
    <row r="29" spans="1:25" x14ac:dyDescent="0.25">
      <c r="A29" s="104"/>
      <c r="B29" s="104"/>
      <c r="C29" s="161"/>
      <c r="D29" s="161"/>
      <c r="E29" s="105" t="s">
        <v>41</v>
      </c>
      <c r="F29" s="106" t="s">
        <v>41</v>
      </c>
      <c r="G29" s="106" t="s">
        <v>41</v>
      </c>
      <c r="H29" s="105" t="s">
        <v>41</v>
      </c>
      <c r="I29" s="106" t="s">
        <v>41</v>
      </c>
      <c r="J29" s="106" t="s">
        <v>41</v>
      </c>
      <c r="K29" s="109"/>
      <c r="L29" s="104"/>
      <c r="M29" s="104"/>
      <c r="N29" s="107"/>
      <c r="O29" s="162">
        <f>SUM(Taulukko1[[#This Row],[Tapahtumien määrä]])*(Taulukko1[[#This Row],[Tapaamiskerrat /lapsi]])*(Taulukko1[[#This Row],[Kesto (min) / tapaaminen]])</f>
        <v>0</v>
      </c>
      <c r="P29" s="107"/>
      <c r="Q29" s="108"/>
      <c r="R29" s="104"/>
      <c r="S29" s="163">
        <f>SUM((Taulukko1[[#This Row],[Kävijämäärä a) lapset]]+Taulukko1[[#This Row],[Kävijämäärä b) aikuiset]]))</f>
        <v>0</v>
      </c>
      <c r="T29" s="163">
        <f t="shared" si="0"/>
        <v>0</v>
      </c>
      <c r="U29" s="105" t="s">
        <v>41</v>
      </c>
      <c r="V29" s="105" t="s">
        <v>41</v>
      </c>
      <c r="W29" s="105" t="s">
        <v>41</v>
      </c>
      <c r="X29" s="116"/>
      <c r="Y29" s="109"/>
    </row>
    <row r="30" spans="1:25" x14ac:dyDescent="0.25">
      <c r="A30" s="104"/>
      <c r="B30" s="104"/>
      <c r="C30" s="161"/>
      <c r="D30" s="161"/>
      <c r="E30" s="105" t="s">
        <v>41</v>
      </c>
      <c r="F30" s="106" t="s">
        <v>41</v>
      </c>
      <c r="G30" s="106" t="s">
        <v>41</v>
      </c>
      <c r="H30" s="105" t="s">
        <v>41</v>
      </c>
      <c r="I30" s="106" t="s">
        <v>41</v>
      </c>
      <c r="J30" s="106" t="s">
        <v>41</v>
      </c>
      <c r="K30" s="109"/>
      <c r="L30" s="104"/>
      <c r="M30" s="104"/>
      <c r="N30" s="107"/>
      <c r="O30" s="162">
        <f>SUM(Taulukko1[[#This Row],[Tapahtumien määrä]])*(Taulukko1[[#This Row],[Tapaamiskerrat /lapsi]])*(Taulukko1[[#This Row],[Kesto (min) / tapaaminen]])</f>
        <v>0</v>
      </c>
      <c r="P30" s="107"/>
      <c r="Q30" s="108"/>
      <c r="R30" s="104"/>
      <c r="S30" s="163">
        <f>SUM((Taulukko1[[#This Row],[Kävijämäärä a) lapset]]+Taulukko1[[#This Row],[Kävijämäärä b) aikuiset]]))</f>
        <v>0</v>
      </c>
      <c r="T30" s="163">
        <f t="shared" si="0"/>
        <v>0</v>
      </c>
      <c r="U30" s="105" t="s">
        <v>41</v>
      </c>
      <c r="V30" s="105" t="s">
        <v>41</v>
      </c>
      <c r="W30" s="105" t="s">
        <v>41</v>
      </c>
      <c r="X30" s="116"/>
      <c r="Y30" s="109"/>
    </row>
    <row r="31" spans="1:25" x14ac:dyDescent="0.25">
      <c r="A31" s="104"/>
      <c r="B31" s="104"/>
      <c r="C31" s="161"/>
      <c r="D31" s="161"/>
      <c r="E31" s="105" t="s">
        <v>41</v>
      </c>
      <c r="F31" s="106" t="s">
        <v>41</v>
      </c>
      <c r="G31" s="106" t="s">
        <v>41</v>
      </c>
      <c r="H31" s="105" t="s">
        <v>41</v>
      </c>
      <c r="I31" s="106" t="s">
        <v>41</v>
      </c>
      <c r="J31" s="106" t="s">
        <v>41</v>
      </c>
      <c r="K31" s="109"/>
      <c r="L31" s="104"/>
      <c r="M31" s="109"/>
      <c r="N31" s="107"/>
      <c r="O31" s="162">
        <f>SUM(Taulukko1[[#This Row],[Tapahtumien määrä]])*(Taulukko1[[#This Row],[Tapaamiskerrat /lapsi]])*(Taulukko1[[#This Row],[Kesto (min) / tapaaminen]])</f>
        <v>0</v>
      </c>
      <c r="P31" s="107"/>
      <c r="Q31" s="108"/>
      <c r="R31" s="104"/>
      <c r="S31" s="163">
        <f>SUM((Taulukko1[[#This Row],[Kävijämäärä a) lapset]]+Taulukko1[[#This Row],[Kävijämäärä b) aikuiset]]))</f>
        <v>0</v>
      </c>
      <c r="T31" s="163">
        <f t="shared" si="0"/>
        <v>0</v>
      </c>
      <c r="U31" s="105" t="s">
        <v>41</v>
      </c>
      <c r="V31" s="105" t="s">
        <v>41</v>
      </c>
      <c r="W31" s="105" t="s">
        <v>41</v>
      </c>
      <c r="X31" s="116"/>
      <c r="Y31" s="109"/>
    </row>
    <row r="32" spans="1:25" x14ac:dyDescent="0.25">
      <c r="A32" s="104"/>
      <c r="B32" s="104"/>
      <c r="C32" s="161"/>
      <c r="D32" s="161"/>
      <c r="E32" s="105" t="s">
        <v>41</v>
      </c>
      <c r="F32" s="106" t="s">
        <v>41</v>
      </c>
      <c r="G32" s="106" t="s">
        <v>41</v>
      </c>
      <c r="H32" s="105" t="s">
        <v>41</v>
      </c>
      <c r="I32" s="106" t="s">
        <v>41</v>
      </c>
      <c r="J32" s="106" t="s">
        <v>41</v>
      </c>
      <c r="K32" s="109"/>
      <c r="L32" s="104"/>
      <c r="M32" s="109"/>
      <c r="N32" s="107"/>
      <c r="O32" s="162">
        <f>SUM(Taulukko1[[#This Row],[Tapahtumien määrä]])*(Taulukko1[[#This Row],[Tapaamiskerrat /lapsi]])*(Taulukko1[[#This Row],[Kesto (min) / tapaaminen]])</f>
        <v>0</v>
      </c>
      <c r="P32" s="107"/>
      <c r="Q32" s="108"/>
      <c r="R32" s="104"/>
      <c r="S32" s="163">
        <f>SUM((Taulukko1[[#This Row],[Kävijämäärä a) lapset]]+Taulukko1[[#This Row],[Kävijämäärä b) aikuiset]]))</f>
        <v>0</v>
      </c>
      <c r="T32" s="163">
        <f t="shared" si="0"/>
        <v>0</v>
      </c>
      <c r="U32" s="105" t="s">
        <v>41</v>
      </c>
      <c r="V32" s="105" t="s">
        <v>41</v>
      </c>
      <c r="W32" s="105" t="s">
        <v>41</v>
      </c>
      <c r="X32" s="116"/>
      <c r="Y32" s="109"/>
    </row>
    <row r="33" spans="1:25" x14ac:dyDescent="0.25">
      <c r="A33" s="104"/>
      <c r="B33" s="104"/>
      <c r="C33" s="161"/>
      <c r="D33" s="161"/>
      <c r="E33" s="105" t="s">
        <v>41</v>
      </c>
      <c r="F33" s="106" t="s">
        <v>41</v>
      </c>
      <c r="G33" s="106" t="s">
        <v>41</v>
      </c>
      <c r="H33" s="105" t="s">
        <v>41</v>
      </c>
      <c r="I33" s="106" t="s">
        <v>41</v>
      </c>
      <c r="J33" s="106" t="s">
        <v>41</v>
      </c>
      <c r="K33" s="109"/>
      <c r="L33" s="104"/>
      <c r="M33" s="109"/>
      <c r="N33" s="107"/>
      <c r="O33" s="162">
        <f>SUM(Taulukko1[[#This Row],[Tapahtumien määrä]])*(Taulukko1[[#This Row],[Tapaamiskerrat /lapsi]])*(Taulukko1[[#This Row],[Kesto (min) / tapaaminen]])</f>
        <v>0</v>
      </c>
      <c r="P33" s="107"/>
      <c r="Q33" s="108"/>
      <c r="R33" s="104"/>
      <c r="S33" s="163">
        <f>SUM((Taulukko1[[#This Row],[Kävijämäärä a) lapset]]+Taulukko1[[#This Row],[Kävijämäärä b) aikuiset]]))</f>
        <v>0</v>
      </c>
      <c r="T33" s="163">
        <f t="shared" si="0"/>
        <v>0</v>
      </c>
      <c r="U33" s="105" t="s">
        <v>41</v>
      </c>
      <c r="V33" s="105" t="s">
        <v>41</v>
      </c>
      <c r="W33" s="105" t="s">
        <v>41</v>
      </c>
      <c r="X33" s="116"/>
      <c r="Y33" s="109"/>
    </row>
    <row r="34" spans="1:25" x14ac:dyDescent="0.25">
      <c r="A34" s="104"/>
      <c r="B34" s="104"/>
      <c r="C34" s="161"/>
      <c r="D34" s="161"/>
      <c r="E34" s="105" t="s">
        <v>41</v>
      </c>
      <c r="F34" s="106" t="s">
        <v>41</v>
      </c>
      <c r="G34" s="106" t="s">
        <v>41</v>
      </c>
      <c r="H34" s="105" t="s">
        <v>41</v>
      </c>
      <c r="I34" s="106" t="s">
        <v>41</v>
      </c>
      <c r="J34" s="106" t="s">
        <v>41</v>
      </c>
      <c r="K34" s="109"/>
      <c r="L34" s="104"/>
      <c r="M34" s="109"/>
      <c r="N34" s="107"/>
      <c r="O34" s="162">
        <f>SUM(Taulukko1[[#This Row],[Tapahtumien määrä]])*(Taulukko1[[#This Row],[Tapaamiskerrat /lapsi]])*(Taulukko1[[#This Row],[Kesto (min) / tapaaminen]])</f>
        <v>0</v>
      </c>
      <c r="P34" s="107"/>
      <c r="Q34" s="108"/>
      <c r="R34" s="104"/>
      <c r="S34" s="163">
        <f>SUM((Taulukko1[[#This Row],[Kävijämäärä a) lapset]]+Taulukko1[[#This Row],[Kävijämäärä b) aikuiset]]))</f>
        <v>0</v>
      </c>
      <c r="T34" s="163">
        <f t="shared" si="0"/>
        <v>0</v>
      </c>
      <c r="U34" s="105" t="s">
        <v>41</v>
      </c>
      <c r="V34" s="105" t="s">
        <v>41</v>
      </c>
      <c r="W34" s="105" t="s">
        <v>41</v>
      </c>
      <c r="X34" s="116"/>
      <c r="Y34" s="109"/>
    </row>
    <row r="35" spans="1:25" x14ac:dyDescent="0.25">
      <c r="A35" s="104"/>
      <c r="B35" s="104"/>
      <c r="C35" s="161"/>
      <c r="D35" s="161"/>
      <c r="E35" s="105" t="s">
        <v>41</v>
      </c>
      <c r="F35" s="106" t="s">
        <v>41</v>
      </c>
      <c r="G35" s="106" t="s">
        <v>41</v>
      </c>
      <c r="H35" s="105" t="s">
        <v>41</v>
      </c>
      <c r="I35" s="106" t="s">
        <v>41</v>
      </c>
      <c r="J35" s="106" t="s">
        <v>41</v>
      </c>
      <c r="K35" s="109"/>
      <c r="L35" s="104"/>
      <c r="M35" s="109"/>
      <c r="N35" s="107"/>
      <c r="O35" s="162">
        <f>SUM(Taulukko1[[#This Row],[Tapahtumien määrä]])*(Taulukko1[[#This Row],[Tapaamiskerrat /lapsi]])*(Taulukko1[[#This Row],[Kesto (min) / tapaaminen]])</f>
        <v>0</v>
      </c>
      <c r="P35" s="107"/>
      <c r="Q35" s="108"/>
      <c r="R35" s="104"/>
      <c r="S35" s="163">
        <f>SUM((Taulukko1[[#This Row],[Kävijämäärä a) lapset]]+Taulukko1[[#This Row],[Kävijämäärä b) aikuiset]]))</f>
        <v>0</v>
      </c>
      <c r="T35" s="163">
        <f t="shared" si="0"/>
        <v>0</v>
      </c>
      <c r="U35" s="105" t="s">
        <v>41</v>
      </c>
      <c r="V35" s="105" t="s">
        <v>41</v>
      </c>
      <c r="W35" s="105" t="s">
        <v>41</v>
      </c>
      <c r="X35" s="116"/>
      <c r="Y35" s="109"/>
    </row>
    <row r="36" spans="1:25" x14ac:dyDescent="0.25">
      <c r="A36" s="104"/>
      <c r="B36" s="104"/>
      <c r="C36" s="161"/>
      <c r="D36" s="161"/>
      <c r="E36" s="105" t="s">
        <v>41</v>
      </c>
      <c r="F36" s="106" t="s">
        <v>41</v>
      </c>
      <c r="G36" s="106" t="s">
        <v>41</v>
      </c>
      <c r="H36" s="105" t="s">
        <v>41</v>
      </c>
      <c r="I36" s="106" t="s">
        <v>41</v>
      </c>
      <c r="J36" s="106" t="s">
        <v>41</v>
      </c>
      <c r="K36" s="109"/>
      <c r="L36" s="104"/>
      <c r="M36" s="109"/>
      <c r="N36" s="107"/>
      <c r="O36" s="162">
        <f>SUM(Taulukko1[[#This Row],[Tapahtumien määrä]])*(Taulukko1[[#This Row],[Tapaamiskerrat /lapsi]])*(Taulukko1[[#This Row],[Kesto (min) / tapaaminen]])</f>
        <v>0</v>
      </c>
      <c r="P36" s="107"/>
      <c r="Q36" s="108"/>
      <c r="R36" s="104"/>
      <c r="S36" s="163">
        <f>SUM((Taulukko1[[#This Row],[Kävijämäärä a) lapset]]+Taulukko1[[#This Row],[Kävijämäärä b) aikuiset]]))</f>
        <v>0</v>
      </c>
      <c r="T36" s="163">
        <f t="shared" ref="T36:T67" si="1">SUM(S36*P36)</f>
        <v>0</v>
      </c>
      <c r="U36" s="105" t="s">
        <v>41</v>
      </c>
      <c r="V36" s="105" t="s">
        <v>41</v>
      </c>
      <c r="W36" s="105" t="s">
        <v>41</v>
      </c>
      <c r="X36" s="116"/>
      <c r="Y36" s="109"/>
    </row>
    <row r="37" spans="1:25" x14ac:dyDescent="0.25">
      <c r="A37" s="104"/>
      <c r="B37" s="104"/>
      <c r="C37" s="161"/>
      <c r="D37" s="161"/>
      <c r="E37" s="105" t="s">
        <v>41</v>
      </c>
      <c r="F37" s="106" t="s">
        <v>41</v>
      </c>
      <c r="G37" s="106" t="s">
        <v>41</v>
      </c>
      <c r="H37" s="105" t="s">
        <v>41</v>
      </c>
      <c r="I37" s="106" t="s">
        <v>41</v>
      </c>
      <c r="J37" s="106" t="s">
        <v>41</v>
      </c>
      <c r="K37" s="109"/>
      <c r="L37" s="104"/>
      <c r="M37" s="109"/>
      <c r="N37" s="107"/>
      <c r="O37" s="162">
        <f>SUM(Taulukko1[[#This Row],[Tapahtumien määrä]])*(Taulukko1[[#This Row],[Tapaamiskerrat /lapsi]])*(Taulukko1[[#This Row],[Kesto (min) / tapaaminen]])</f>
        <v>0</v>
      </c>
      <c r="P37" s="107"/>
      <c r="Q37" s="108"/>
      <c r="R37" s="104"/>
      <c r="S37" s="163">
        <f>SUM((Taulukko1[[#This Row],[Kävijämäärä a) lapset]]+Taulukko1[[#This Row],[Kävijämäärä b) aikuiset]]))</f>
        <v>0</v>
      </c>
      <c r="T37" s="163">
        <f t="shared" si="1"/>
        <v>0</v>
      </c>
      <c r="U37" s="105" t="s">
        <v>41</v>
      </c>
      <c r="V37" s="105" t="s">
        <v>41</v>
      </c>
      <c r="W37" s="105" t="s">
        <v>41</v>
      </c>
      <c r="X37" s="116"/>
      <c r="Y37" s="109"/>
    </row>
    <row r="38" spans="1:25" x14ac:dyDescent="0.25">
      <c r="A38" s="104"/>
      <c r="B38" s="104"/>
      <c r="C38" s="161"/>
      <c r="D38" s="161"/>
      <c r="E38" s="105" t="s">
        <v>41</v>
      </c>
      <c r="F38" s="106" t="s">
        <v>41</v>
      </c>
      <c r="G38" s="106" t="s">
        <v>41</v>
      </c>
      <c r="H38" s="105" t="s">
        <v>41</v>
      </c>
      <c r="I38" s="106" t="s">
        <v>41</v>
      </c>
      <c r="J38" s="106" t="s">
        <v>41</v>
      </c>
      <c r="K38" s="104"/>
      <c r="L38" s="104"/>
      <c r="M38" s="109"/>
      <c r="N38" s="107"/>
      <c r="O38" s="162">
        <f>SUM(Taulukko1[[#This Row],[Tapahtumien määrä]])*(Taulukko1[[#This Row],[Tapaamiskerrat /lapsi]])*(Taulukko1[[#This Row],[Kesto (min) / tapaaminen]])</f>
        <v>0</v>
      </c>
      <c r="P38" s="107"/>
      <c r="Q38" s="108"/>
      <c r="R38" s="104"/>
      <c r="S38" s="163">
        <f>SUM((Taulukko1[[#This Row],[Kävijämäärä a) lapset]]+Taulukko1[[#This Row],[Kävijämäärä b) aikuiset]]))</f>
        <v>0</v>
      </c>
      <c r="T38" s="163">
        <f t="shared" si="1"/>
        <v>0</v>
      </c>
      <c r="U38" s="105" t="s">
        <v>41</v>
      </c>
      <c r="V38" s="105" t="s">
        <v>41</v>
      </c>
      <c r="W38" s="105" t="s">
        <v>41</v>
      </c>
      <c r="X38" s="116"/>
      <c r="Y38" s="104"/>
    </row>
    <row r="39" spans="1:25" x14ac:dyDescent="0.25">
      <c r="A39" s="104"/>
      <c r="B39" s="104"/>
      <c r="C39" s="161"/>
      <c r="D39" s="161"/>
      <c r="E39" s="105" t="s">
        <v>41</v>
      </c>
      <c r="F39" s="106" t="s">
        <v>41</v>
      </c>
      <c r="G39" s="106" t="s">
        <v>41</v>
      </c>
      <c r="H39" s="105" t="s">
        <v>41</v>
      </c>
      <c r="I39" s="106" t="s">
        <v>41</v>
      </c>
      <c r="J39" s="106" t="s">
        <v>41</v>
      </c>
      <c r="K39" s="104"/>
      <c r="L39" s="104"/>
      <c r="M39" s="109"/>
      <c r="N39" s="107"/>
      <c r="O39" s="162">
        <f>SUM(Taulukko1[[#This Row],[Tapahtumien määrä]])*(Taulukko1[[#This Row],[Tapaamiskerrat /lapsi]])*(Taulukko1[[#This Row],[Kesto (min) / tapaaminen]])</f>
        <v>0</v>
      </c>
      <c r="P39" s="107"/>
      <c r="Q39" s="108"/>
      <c r="R39" s="104"/>
      <c r="S39" s="163">
        <f>SUM((Taulukko1[[#This Row],[Kävijämäärä a) lapset]]+Taulukko1[[#This Row],[Kävijämäärä b) aikuiset]]))</f>
        <v>0</v>
      </c>
      <c r="T39" s="163">
        <f t="shared" si="1"/>
        <v>0</v>
      </c>
      <c r="U39" s="105" t="s">
        <v>41</v>
      </c>
      <c r="V39" s="105" t="s">
        <v>41</v>
      </c>
      <c r="W39" s="105" t="s">
        <v>41</v>
      </c>
      <c r="X39" s="116"/>
      <c r="Y39" s="104"/>
    </row>
    <row r="40" spans="1:25" x14ac:dyDescent="0.25">
      <c r="A40" s="104"/>
      <c r="B40" s="104"/>
      <c r="C40" s="161"/>
      <c r="D40" s="161"/>
      <c r="E40" s="105" t="s">
        <v>41</v>
      </c>
      <c r="F40" s="106" t="s">
        <v>41</v>
      </c>
      <c r="G40" s="106" t="s">
        <v>41</v>
      </c>
      <c r="H40" s="105" t="s">
        <v>41</v>
      </c>
      <c r="I40" s="106" t="s">
        <v>41</v>
      </c>
      <c r="J40" s="106" t="s">
        <v>41</v>
      </c>
      <c r="K40" s="104"/>
      <c r="L40" s="104"/>
      <c r="M40" s="109"/>
      <c r="N40" s="107"/>
      <c r="O40" s="162">
        <f>SUM(Taulukko1[[#This Row],[Tapahtumien määrä]])*(Taulukko1[[#This Row],[Tapaamiskerrat /lapsi]])*(Taulukko1[[#This Row],[Kesto (min) / tapaaminen]])</f>
        <v>0</v>
      </c>
      <c r="P40" s="107"/>
      <c r="Q40" s="108"/>
      <c r="R40" s="104"/>
      <c r="S40" s="163">
        <f>SUM((Taulukko1[[#This Row],[Kävijämäärä a) lapset]]+Taulukko1[[#This Row],[Kävijämäärä b) aikuiset]]))</f>
        <v>0</v>
      </c>
      <c r="T40" s="162">
        <f t="shared" si="1"/>
        <v>0</v>
      </c>
      <c r="U40" s="105" t="s">
        <v>41</v>
      </c>
      <c r="V40" s="105" t="s">
        <v>41</v>
      </c>
      <c r="W40" s="105" t="s">
        <v>41</v>
      </c>
      <c r="X40" s="116"/>
      <c r="Y40" s="104"/>
    </row>
    <row r="41" spans="1:25" x14ac:dyDescent="0.25">
      <c r="A41" s="104"/>
      <c r="B41" s="104"/>
      <c r="C41" s="161"/>
      <c r="D41" s="161"/>
      <c r="E41" s="105" t="s">
        <v>41</v>
      </c>
      <c r="F41" s="106" t="s">
        <v>41</v>
      </c>
      <c r="G41" s="106" t="s">
        <v>41</v>
      </c>
      <c r="H41" s="105" t="s">
        <v>41</v>
      </c>
      <c r="I41" s="106" t="s">
        <v>41</v>
      </c>
      <c r="J41" s="106" t="s">
        <v>41</v>
      </c>
      <c r="K41" s="104"/>
      <c r="L41" s="104"/>
      <c r="M41" s="109"/>
      <c r="N41" s="107"/>
      <c r="O41" s="162">
        <f>SUM(Taulukko1[[#This Row],[Tapahtumien määrä]])*(Taulukko1[[#This Row],[Tapaamiskerrat /lapsi]])*(Taulukko1[[#This Row],[Kesto (min) / tapaaminen]])</f>
        <v>0</v>
      </c>
      <c r="P41" s="107"/>
      <c r="Q41" s="108"/>
      <c r="R41" s="104"/>
      <c r="S41" s="163">
        <f>SUM((Taulukko1[[#This Row],[Kävijämäärä a) lapset]]+Taulukko1[[#This Row],[Kävijämäärä b) aikuiset]]))</f>
        <v>0</v>
      </c>
      <c r="T41" s="163">
        <f t="shared" si="1"/>
        <v>0</v>
      </c>
      <c r="U41" s="105" t="s">
        <v>41</v>
      </c>
      <c r="V41" s="105" t="s">
        <v>41</v>
      </c>
      <c r="W41" s="105" t="s">
        <v>41</v>
      </c>
      <c r="X41" s="116"/>
      <c r="Y41" s="104"/>
    </row>
    <row r="42" spans="1:25" x14ac:dyDescent="0.25">
      <c r="A42" s="104"/>
      <c r="B42" s="104"/>
      <c r="C42" s="161"/>
      <c r="D42" s="161"/>
      <c r="E42" s="105" t="s">
        <v>41</v>
      </c>
      <c r="F42" s="106" t="s">
        <v>41</v>
      </c>
      <c r="G42" s="106" t="s">
        <v>41</v>
      </c>
      <c r="H42" s="105" t="s">
        <v>41</v>
      </c>
      <c r="I42" s="106" t="s">
        <v>41</v>
      </c>
      <c r="J42" s="106" t="s">
        <v>41</v>
      </c>
      <c r="K42" s="104"/>
      <c r="L42" s="104"/>
      <c r="M42" s="104"/>
      <c r="N42" s="107"/>
      <c r="O42" s="162">
        <f>SUM(Taulukko1[[#This Row],[Tapahtumien määrä]])*(Taulukko1[[#This Row],[Tapaamiskerrat /lapsi]])*(Taulukko1[[#This Row],[Kesto (min) / tapaaminen]])</f>
        <v>0</v>
      </c>
      <c r="P42" s="107"/>
      <c r="Q42" s="108"/>
      <c r="R42" s="104"/>
      <c r="S42" s="163">
        <f>SUM((Taulukko1[[#This Row],[Kävijämäärä a) lapset]]+Taulukko1[[#This Row],[Kävijämäärä b) aikuiset]]))</f>
        <v>0</v>
      </c>
      <c r="T42" s="162">
        <f t="shared" si="1"/>
        <v>0</v>
      </c>
      <c r="U42" s="105" t="s">
        <v>41</v>
      </c>
      <c r="V42" s="105" t="s">
        <v>41</v>
      </c>
      <c r="W42" s="105" t="s">
        <v>41</v>
      </c>
      <c r="X42" s="116"/>
      <c r="Y42" s="104"/>
    </row>
    <row r="43" spans="1:25" x14ac:dyDescent="0.25">
      <c r="A43" s="104"/>
      <c r="B43" s="104"/>
      <c r="C43" s="161"/>
      <c r="D43" s="161"/>
      <c r="E43" s="105" t="s">
        <v>41</v>
      </c>
      <c r="F43" s="106" t="s">
        <v>41</v>
      </c>
      <c r="G43" s="106" t="s">
        <v>41</v>
      </c>
      <c r="H43" s="105" t="s">
        <v>41</v>
      </c>
      <c r="I43" s="106" t="s">
        <v>41</v>
      </c>
      <c r="J43" s="106" t="s">
        <v>41</v>
      </c>
      <c r="K43" s="104"/>
      <c r="L43" s="104"/>
      <c r="M43" s="104"/>
      <c r="N43" s="107"/>
      <c r="O43" s="162">
        <f>SUM(Taulukko1[[#This Row],[Tapahtumien määrä]])*(Taulukko1[[#This Row],[Tapaamiskerrat /lapsi]])*(Taulukko1[[#This Row],[Kesto (min) / tapaaminen]])</f>
        <v>0</v>
      </c>
      <c r="P43" s="107"/>
      <c r="Q43" s="108"/>
      <c r="R43" s="104"/>
      <c r="S43" s="163">
        <f>SUM((Taulukko1[[#This Row],[Kävijämäärä a) lapset]]+Taulukko1[[#This Row],[Kävijämäärä b) aikuiset]]))</f>
        <v>0</v>
      </c>
      <c r="T43" s="163">
        <f t="shared" si="1"/>
        <v>0</v>
      </c>
      <c r="U43" s="105" t="s">
        <v>41</v>
      </c>
      <c r="V43" s="105" t="s">
        <v>41</v>
      </c>
      <c r="W43" s="105" t="s">
        <v>41</v>
      </c>
      <c r="X43" s="116"/>
      <c r="Y43" s="104"/>
    </row>
    <row r="44" spans="1:25" x14ac:dyDescent="0.25">
      <c r="A44" s="104"/>
      <c r="B44" s="104"/>
      <c r="C44" s="161"/>
      <c r="D44" s="161"/>
      <c r="E44" s="105" t="s">
        <v>41</v>
      </c>
      <c r="F44" s="106" t="s">
        <v>41</v>
      </c>
      <c r="G44" s="106" t="s">
        <v>41</v>
      </c>
      <c r="H44" s="105" t="s">
        <v>41</v>
      </c>
      <c r="I44" s="106" t="s">
        <v>41</v>
      </c>
      <c r="J44" s="106" t="s">
        <v>41</v>
      </c>
      <c r="K44" s="104"/>
      <c r="L44" s="104"/>
      <c r="M44" s="104"/>
      <c r="N44" s="107"/>
      <c r="O44" s="162">
        <f>SUM(Taulukko1[[#This Row],[Tapahtumien määrä]])*(Taulukko1[[#This Row],[Tapaamiskerrat /lapsi]])*(Taulukko1[[#This Row],[Kesto (min) / tapaaminen]])</f>
        <v>0</v>
      </c>
      <c r="P44" s="107"/>
      <c r="Q44" s="108"/>
      <c r="R44" s="104"/>
      <c r="S44" s="163">
        <f>SUM((Taulukko1[[#This Row],[Kävijämäärä a) lapset]]+Taulukko1[[#This Row],[Kävijämäärä b) aikuiset]]))</f>
        <v>0</v>
      </c>
      <c r="T44" s="163">
        <f t="shared" si="1"/>
        <v>0</v>
      </c>
      <c r="U44" s="105" t="s">
        <v>41</v>
      </c>
      <c r="V44" s="105" t="s">
        <v>41</v>
      </c>
      <c r="W44" s="105" t="s">
        <v>41</v>
      </c>
      <c r="X44" s="116"/>
      <c r="Y44" s="104"/>
    </row>
    <row r="45" spans="1:25" x14ac:dyDescent="0.25">
      <c r="A45" s="104"/>
      <c r="B45" s="104"/>
      <c r="C45" s="161"/>
      <c r="D45" s="161"/>
      <c r="E45" s="105" t="s">
        <v>41</v>
      </c>
      <c r="F45" s="106" t="s">
        <v>41</v>
      </c>
      <c r="G45" s="106" t="s">
        <v>41</v>
      </c>
      <c r="H45" s="105" t="s">
        <v>41</v>
      </c>
      <c r="I45" s="106" t="s">
        <v>41</v>
      </c>
      <c r="J45" s="106" t="s">
        <v>41</v>
      </c>
      <c r="K45" s="104"/>
      <c r="L45" s="104"/>
      <c r="M45" s="104"/>
      <c r="N45" s="107"/>
      <c r="O45" s="162">
        <f>SUM(Taulukko1[[#This Row],[Tapahtumien määrä]])*(Taulukko1[[#This Row],[Tapaamiskerrat /lapsi]])*(Taulukko1[[#This Row],[Kesto (min) / tapaaminen]])</f>
        <v>0</v>
      </c>
      <c r="P45" s="107"/>
      <c r="Q45" s="108"/>
      <c r="R45" s="104"/>
      <c r="S45" s="163">
        <f>SUM((Taulukko1[[#This Row],[Kävijämäärä a) lapset]]+Taulukko1[[#This Row],[Kävijämäärä b) aikuiset]]))</f>
        <v>0</v>
      </c>
      <c r="T45" s="163">
        <f t="shared" si="1"/>
        <v>0</v>
      </c>
      <c r="U45" s="105" t="s">
        <v>41</v>
      </c>
      <c r="V45" s="105" t="s">
        <v>41</v>
      </c>
      <c r="W45" s="105" t="s">
        <v>41</v>
      </c>
      <c r="X45" s="116"/>
      <c r="Y45" s="104"/>
    </row>
    <row r="46" spans="1:25" x14ac:dyDescent="0.25">
      <c r="A46" s="104"/>
      <c r="B46" s="104"/>
      <c r="C46" s="161"/>
      <c r="D46" s="161"/>
      <c r="E46" s="105" t="s">
        <v>41</v>
      </c>
      <c r="F46" s="106" t="s">
        <v>41</v>
      </c>
      <c r="G46" s="106" t="s">
        <v>41</v>
      </c>
      <c r="H46" s="105" t="s">
        <v>41</v>
      </c>
      <c r="I46" s="106" t="s">
        <v>41</v>
      </c>
      <c r="J46" s="106" t="s">
        <v>41</v>
      </c>
      <c r="K46" s="104"/>
      <c r="L46" s="104"/>
      <c r="M46" s="104"/>
      <c r="N46" s="107"/>
      <c r="O46" s="162">
        <f>SUM(Taulukko1[[#This Row],[Tapahtumien määrä]])*(Taulukko1[[#This Row],[Tapaamiskerrat /lapsi]])*(Taulukko1[[#This Row],[Kesto (min) / tapaaminen]])</f>
        <v>0</v>
      </c>
      <c r="P46" s="107"/>
      <c r="Q46" s="108"/>
      <c r="R46" s="104"/>
      <c r="S46" s="163">
        <f>SUM((Taulukko1[[#This Row],[Kävijämäärä a) lapset]]+Taulukko1[[#This Row],[Kävijämäärä b) aikuiset]]))</f>
        <v>0</v>
      </c>
      <c r="T46" s="163">
        <f t="shared" si="1"/>
        <v>0</v>
      </c>
      <c r="U46" s="105" t="s">
        <v>41</v>
      </c>
      <c r="V46" s="105" t="s">
        <v>41</v>
      </c>
      <c r="W46" s="105" t="s">
        <v>41</v>
      </c>
      <c r="X46" s="116"/>
      <c r="Y46" s="104"/>
    </row>
    <row r="47" spans="1:25" x14ac:dyDescent="0.25">
      <c r="A47" s="104"/>
      <c r="B47" s="104"/>
      <c r="C47" s="161"/>
      <c r="D47" s="161"/>
      <c r="E47" s="105" t="s">
        <v>41</v>
      </c>
      <c r="F47" s="106" t="s">
        <v>41</v>
      </c>
      <c r="G47" s="106" t="s">
        <v>41</v>
      </c>
      <c r="H47" s="105" t="s">
        <v>41</v>
      </c>
      <c r="I47" s="106" t="s">
        <v>41</v>
      </c>
      <c r="J47" s="106" t="s">
        <v>41</v>
      </c>
      <c r="K47" s="104"/>
      <c r="L47" s="104"/>
      <c r="M47" s="104"/>
      <c r="N47" s="107"/>
      <c r="O47" s="162">
        <f>SUM(Taulukko1[[#This Row],[Tapahtumien määrä]])*(Taulukko1[[#This Row],[Tapaamiskerrat /lapsi]])*(Taulukko1[[#This Row],[Kesto (min) / tapaaminen]])</f>
        <v>0</v>
      </c>
      <c r="P47" s="107"/>
      <c r="Q47" s="108"/>
      <c r="R47" s="104"/>
      <c r="S47" s="163">
        <f>SUM((Taulukko1[[#This Row],[Kävijämäärä a) lapset]]+Taulukko1[[#This Row],[Kävijämäärä b) aikuiset]]))</f>
        <v>0</v>
      </c>
      <c r="T47" s="163">
        <f t="shared" si="1"/>
        <v>0</v>
      </c>
      <c r="U47" s="105" t="s">
        <v>41</v>
      </c>
      <c r="V47" s="105" t="s">
        <v>41</v>
      </c>
      <c r="W47" s="105" t="s">
        <v>41</v>
      </c>
      <c r="X47" s="116"/>
      <c r="Y47" s="104"/>
    </row>
    <row r="48" spans="1:25" x14ac:dyDescent="0.25">
      <c r="A48" s="104"/>
      <c r="B48" s="104"/>
      <c r="C48" s="161"/>
      <c r="D48" s="161"/>
      <c r="E48" s="105" t="s">
        <v>41</v>
      </c>
      <c r="F48" s="106" t="s">
        <v>41</v>
      </c>
      <c r="G48" s="106" t="s">
        <v>41</v>
      </c>
      <c r="H48" s="105" t="s">
        <v>41</v>
      </c>
      <c r="I48" s="106" t="s">
        <v>41</v>
      </c>
      <c r="J48" s="106" t="s">
        <v>41</v>
      </c>
      <c r="K48" s="104"/>
      <c r="L48" s="104"/>
      <c r="M48" s="104"/>
      <c r="N48" s="107"/>
      <c r="O48" s="162">
        <f>SUM(Taulukko1[[#This Row],[Tapahtumien määrä]])*(Taulukko1[[#This Row],[Tapaamiskerrat /lapsi]])*(Taulukko1[[#This Row],[Kesto (min) / tapaaminen]])</f>
        <v>0</v>
      </c>
      <c r="P48" s="107"/>
      <c r="Q48" s="108"/>
      <c r="R48" s="104"/>
      <c r="S48" s="163">
        <f>SUM((Taulukko1[[#This Row],[Kävijämäärä a) lapset]]+Taulukko1[[#This Row],[Kävijämäärä b) aikuiset]]))</f>
        <v>0</v>
      </c>
      <c r="T48" s="163">
        <f t="shared" si="1"/>
        <v>0</v>
      </c>
      <c r="U48" s="105" t="s">
        <v>41</v>
      </c>
      <c r="V48" s="105" t="s">
        <v>41</v>
      </c>
      <c r="W48" s="105" t="s">
        <v>41</v>
      </c>
      <c r="X48" s="116"/>
      <c r="Y48" s="104"/>
    </row>
    <row r="49" spans="1:25" x14ac:dyDescent="0.25">
      <c r="A49" s="104"/>
      <c r="B49" s="104"/>
      <c r="C49" s="161"/>
      <c r="D49" s="161"/>
      <c r="E49" s="105" t="s">
        <v>41</v>
      </c>
      <c r="F49" s="106" t="s">
        <v>41</v>
      </c>
      <c r="G49" s="106" t="s">
        <v>41</v>
      </c>
      <c r="H49" s="105" t="s">
        <v>41</v>
      </c>
      <c r="I49" s="106" t="s">
        <v>41</v>
      </c>
      <c r="J49" s="106" t="s">
        <v>41</v>
      </c>
      <c r="K49" s="104"/>
      <c r="L49" s="104"/>
      <c r="M49" s="104"/>
      <c r="N49" s="107"/>
      <c r="O49" s="162">
        <f>SUM(Taulukko1[[#This Row],[Tapahtumien määrä]])*(Taulukko1[[#This Row],[Tapaamiskerrat /lapsi]])*(Taulukko1[[#This Row],[Kesto (min) / tapaaminen]])</f>
        <v>0</v>
      </c>
      <c r="P49" s="107"/>
      <c r="Q49" s="108"/>
      <c r="R49" s="104"/>
      <c r="S49" s="163">
        <f>SUM((Taulukko1[[#This Row],[Kävijämäärä a) lapset]]+Taulukko1[[#This Row],[Kävijämäärä b) aikuiset]]))</f>
        <v>0</v>
      </c>
      <c r="T49" s="163">
        <f t="shared" si="1"/>
        <v>0</v>
      </c>
      <c r="U49" s="105" t="s">
        <v>41</v>
      </c>
      <c r="V49" s="105" t="s">
        <v>41</v>
      </c>
      <c r="W49" s="105" t="s">
        <v>41</v>
      </c>
      <c r="X49" s="116"/>
      <c r="Y49" s="104"/>
    </row>
    <row r="50" spans="1:25" x14ac:dyDescent="0.25">
      <c r="A50" s="104"/>
      <c r="B50" s="104"/>
      <c r="C50" s="161"/>
      <c r="D50" s="161"/>
      <c r="E50" s="105" t="s">
        <v>41</v>
      </c>
      <c r="F50" s="106" t="s">
        <v>41</v>
      </c>
      <c r="G50" s="106" t="s">
        <v>41</v>
      </c>
      <c r="H50" s="105" t="s">
        <v>41</v>
      </c>
      <c r="I50" s="106" t="s">
        <v>41</v>
      </c>
      <c r="J50" s="106" t="s">
        <v>41</v>
      </c>
      <c r="K50" s="104"/>
      <c r="L50" s="104"/>
      <c r="M50" s="104"/>
      <c r="N50" s="107"/>
      <c r="O50" s="162">
        <f>SUM(Taulukko1[[#This Row],[Tapahtumien määrä]])*(Taulukko1[[#This Row],[Tapaamiskerrat /lapsi]])*(Taulukko1[[#This Row],[Kesto (min) / tapaaminen]])</f>
        <v>0</v>
      </c>
      <c r="P50" s="107"/>
      <c r="Q50" s="108"/>
      <c r="R50" s="104"/>
      <c r="S50" s="163">
        <f>SUM((Taulukko1[[#This Row],[Kävijämäärä a) lapset]]+Taulukko1[[#This Row],[Kävijämäärä b) aikuiset]]))</f>
        <v>0</v>
      </c>
      <c r="T50" s="163">
        <f t="shared" si="1"/>
        <v>0</v>
      </c>
      <c r="U50" s="105" t="s">
        <v>41</v>
      </c>
      <c r="V50" s="105" t="s">
        <v>41</v>
      </c>
      <c r="W50" s="105" t="s">
        <v>41</v>
      </c>
      <c r="X50" s="116"/>
      <c r="Y50" s="104"/>
    </row>
    <row r="51" spans="1:25" x14ac:dyDescent="0.25">
      <c r="A51" s="104"/>
      <c r="B51" s="104"/>
      <c r="C51" s="161"/>
      <c r="D51" s="161"/>
      <c r="E51" s="105" t="s">
        <v>41</v>
      </c>
      <c r="F51" s="106" t="s">
        <v>41</v>
      </c>
      <c r="G51" s="106" t="s">
        <v>41</v>
      </c>
      <c r="H51" s="105" t="s">
        <v>41</v>
      </c>
      <c r="I51" s="106" t="s">
        <v>41</v>
      </c>
      <c r="J51" s="106" t="s">
        <v>41</v>
      </c>
      <c r="K51" s="104"/>
      <c r="L51" s="104"/>
      <c r="M51" s="104"/>
      <c r="N51" s="107"/>
      <c r="O51" s="162">
        <f>SUM(Taulukko1[[#This Row],[Tapahtumien määrä]])*(Taulukko1[[#This Row],[Tapaamiskerrat /lapsi]])*(Taulukko1[[#This Row],[Kesto (min) / tapaaminen]])</f>
        <v>0</v>
      </c>
      <c r="P51" s="107"/>
      <c r="Q51" s="108"/>
      <c r="R51" s="104"/>
      <c r="S51" s="163">
        <f>SUM((Taulukko1[[#This Row],[Kävijämäärä a) lapset]]+Taulukko1[[#This Row],[Kävijämäärä b) aikuiset]]))</f>
        <v>0</v>
      </c>
      <c r="T51" s="163">
        <f t="shared" si="1"/>
        <v>0</v>
      </c>
      <c r="U51" s="105" t="s">
        <v>41</v>
      </c>
      <c r="V51" s="105" t="s">
        <v>41</v>
      </c>
      <c r="W51" s="105" t="s">
        <v>41</v>
      </c>
      <c r="X51" s="116"/>
      <c r="Y51" s="104"/>
    </row>
    <row r="52" spans="1:25" x14ac:dyDescent="0.25">
      <c r="A52" s="104"/>
      <c r="B52" s="104"/>
      <c r="C52" s="161"/>
      <c r="D52" s="161"/>
      <c r="E52" s="105" t="s">
        <v>41</v>
      </c>
      <c r="F52" s="106" t="s">
        <v>41</v>
      </c>
      <c r="G52" s="106" t="s">
        <v>41</v>
      </c>
      <c r="H52" s="105" t="s">
        <v>41</v>
      </c>
      <c r="I52" s="106" t="s">
        <v>41</v>
      </c>
      <c r="J52" s="106" t="s">
        <v>41</v>
      </c>
      <c r="K52" s="104"/>
      <c r="L52" s="104"/>
      <c r="M52" s="104"/>
      <c r="N52" s="107"/>
      <c r="O52" s="162">
        <f>SUM(Taulukko1[[#This Row],[Tapahtumien määrä]])*(Taulukko1[[#This Row],[Tapaamiskerrat /lapsi]])*(Taulukko1[[#This Row],[Kesto (min) / tapaaminen]])</f>
        <v>0</v>
      </c>
      <c r="P52" s="107"/>
      <c r="Q52" s="108"/>
      <c r="R52" s="104"/>
      <c r="S52" s="163">
        <f>SUM((Taulukko1[[#This Row],[Kävijämäärä a) lapset]]+Taulukko1[[#This Row],[Kävijämäärä b) aikuiset]]))</f>
        <v>0</v>
      </c>
      <c r="T52" s="164">
        <f t="shared" si="1"/>
        <v>0</v>
      </c>
      <c r="U52" s="105" t="s">
        <v>41</v>
      </c>
      <c r="V52" s="105" t="s">
        <v>41</v>
      </c>
      <c r="W52" s="105" t="s">
        <v>41</v>
      </c>
      <c r="X52" s="116"/>
      <c r="Y52" s="104"/>
    </row>
    <row r="53" spans="1:25" x14ac:dyDescent="0.25">
      <c r="A53" s="104"/>
      <c r="B53" s="104"/>
      <c r="C53" s="161"/>
      <c r="D53" s="161"/>
      <c r="E53" s="105" t="s">
        <v>41</v>
      </c>
      <c r="F53" s="106" t="s">
        <v>41</v>
      </c>
      <c r="G53" s="106" t="s">
        <v>41</v>
      </c>
      <c r="H53" s="105" t="s">
        <v>41</v>
      </c>
      <c r="I53" s="106" t="s">
        <v>41</v>
      </c>
      <c r="J53" s="106" t="s">
        <v>41</v>
      </c>
      <c r="K53" s="104"/>
      <c r="L53" s="104"/>
      <c r="M53" s="104"/>
      <c r="N53" s="107"/>
      <c r="O53" s="162">
        <f>SUM(Taulukko1[[#This Row],[Tapahtumien määrä]])*(Taulukko1[[#This Row],[Tapaamiskerrat /lapsi]])*(Taulukko1[[#This Row],[Kesto (min) / tapaaminen]])</f>
        <v>0</v>
      </c>
      <c r="P53" s="107"/>
      <c r="Q53" s="108"/>
      <c r="R53" s="104"/>
      <c r="S53" s="163">
        <f>SUM((Taulukko1[[#This Row],[Kävijämäärä a) lapset]]+Taulukko1[[#This Row],[Kävijämäärä b) aikuiset]]))</f>
        <v>0</v>
      </c>
      <c r="T53" s="163">
        <f t="shared" si="1"/>
        <v>0</v>
      </c>
      <c r="U53" s="105" t="s">
        <v>41</v>
      </c>
      <c r="V53" s="105" t="s">
        <v>41</v>
      </c>
      <c r="W53" s="105" t="s">
        <v>41</v>
      </c>
      <c r="X53" s="116"/>
      <c r="Y53" s="104"/>
    </row>
    <row r="54" spans="1:25" x14ac:dyDescent="0.25">
      <c r="A54" s="104"/>
      <c r="B54" s="104"/>
      <c r="C54" s="161"/>
      <c r="D54" s="161"/>
      <c r="E54" s="105" t="s">
        <v>41</v>
      </c>
      <c r="F54" s="106" t="s">
        <v>41</v>
      </c>
      <c r="G54" s="106" t="s">
        <v>41</v>
      </c>
      <c r="H54" s="105" t="s">
        <v>41</v>
      </c>
      <c r="I54" s="106" t="s">
        <v>41</v>
      </c>
      <c r="J54" s="106" t="s">
        <v>41</v>
      </c>
      <c r="K54" s="104"/>
      <c r="L54" s="104"/>
      <c r="M54" s="104"/>
      <c r="N54" s="107"/>
      <c r="O54" s="162">
        <f>SUM(Taulukko1[[#This Row],[Tapahtumien määrä]])*(Taulukko1[[#This Row],[Tapaamiskerrat /lapsi]])*(Taulukko1[[#This Row],[Kesto (min) / tapaaminen]])</f>
        <v>0</v>
      </c>
      <c r="P54" s="107"/>
      <c r="Q54" s="108"/>
      <c r="R54" s="104"/>
      <c r="S54" s="163">
        <f>SUM((Taulukko1[[#This Row],[Kävijämäärä a) lapset]]+Taulukko1[[#This Row],[Kävijämäärä b) aikuiset]]))</f>
        <v>0</v>
      </c>
      <c r="T54" s="163">
        <f t="shared" si="1"/>
        <v>0</v>
      </c>
      <c r="U54" s="105" t="s">
        <v>41</v>
      </c>
      <c r="V54" s="105" t="s">
        <v>41</v>
      </c>
      <c r="W54" s="105" t="s">
        <v>41</v>
      </c>
      <c r="X54" s="116"/>
      <c r="Y54" s="104"/>
    </row>
    <row r="55" spans="1:25" x14ac:dyDescent="0.25">
      <c r="A55" s="104"/>
      <c r="B55" s="104"/>
      <c r="C55" s="161"/>
      <c r="D55" s="161"/>
      <c r="E55" s="105" t="s">
        <v>41</v>
      </c>
      <c r="F55" s="106" t="s">
        <v>41</v>
      </c>
      <c r="G55" s="106" t="s">
        <v>41</v>
      </c>
      <c r="H55" s="105" t="s">
        <v>41</v>
      </c>
      <c r="I55" s="106" t="s">
        <v>41</v>
      </c>
      <c r="J55" s="106" t="s">
        <v>41</v>
      </c>
      <c r="K55" s="104"/>
      <c r="L55" s="104"/>
      <c r="M55" s="104"/>
      <c r="N55" s="107"/>
      <c r="O55" s="162">
        <f>SUM(Taulukko1[[#This Row],[Tapahtumien määrä]])*(Taulukko1[[#This Row],[Tapaamiskerrat /lapsi]])*(Taulukko1[[#This Row],[Kesto (min) / tapaaminen]])</f>
        <v>0</v>
      </c>
      <c r="P55" s="107"/>
      <c r="Q55" s="108"/>
      <c r="R55" s="104"/>
      <c r="S55" s="163">
        <f>SUM((Taulukko1[[#This Row],[Kävijämäärä a) lapset]]+Taulukko1[[#This Row],[Kävijämäärä b) aikuiset]]))</f>
        <v>0</v>
      </c>
      <c r="T55" s="163">
        <f t="shared" si="1"/>
        <v>0</v>
      </c>
      <c r="U55" s="105" t="s">
        <v>41</v>
      </c>
      <c r="V55" s="105" t="s">
        <v>41</v>
      </c>
      <c r="W55" s="105" t="s">
        <v>41</v>
      </c>
      <c r="X55" s="116"/>
      <c r="Y55" s="104"/>
    </row>
    <row r="56" spans="1:25" x14ac:dyDescent="0.25">
      <c r="A56" s="104"/>
      <c r="B56" s="104"/>
      <c r="C56" s="161"/>
      <c r="D56" s="161"/>
      <c r="E56" s="105" t="s">
        <v>41</v>
      </c>
      <c r="F56" s="106" t="s">
        <v>41</v>
      </c>
      <c r="G56" s="106" t="s">
        <v>41</v>
      </c>
      <c r="H56" s="105" t="s">
        <v>41</v>
      </c>
      <c r="I56" s="106" t="s">
        <v>41</v>
      </c>
      <c r="J56" s="106" t="s">
        <v>41</v>
      </c>
      <c r="K56" s="104"/>
      <c r="L56" s="104"/>
      <c r="M56" s="104"/>
      <c r="N56" s="107"/>
      <c r="O56" s="162">
        <f>SUM(Taulukko1[[#This Row],[Tapahtumien määrä]])*(Taulukko1[[#This Row],[Tapaamiskerrat /lapsi]])*(Taulukko1[[#This Row],[Kesto (min) / tapaaminen]])</f>
        <v>0</v>
      </c>
      <c r="P56" s="107"/>
      <c r="Q56" s="108"/>
      <c r="R56" s="104"/>
      <c r="S56" s="163">
        <f>SUM((Taulukko1[[#This Row],[Kävijämäärä a) lapset]]+Taulukko1[[#This Row],[Kävijämäärä b) aikuiset]]))</f>
        <v>0</v>
      </c>
      <c r="T56" s="163">
        <f t="shared" si="1"/>
        <v>0</v>
      </c>
      <c r="U56" s="105" t="s">
        <v>41</v>
      </c>
      <c r="V56" s="105" t="s">
        <v>41</v>
      </c>
      <c r="W56" s="105" t="s">
        <v>41</v>
      </c>
      <c r="X56" s="116"/>
      <c r="Y56" s="104"/>
    </row>
    <row r="57" spans="1:25" x14ac:dyDescent="0.25">
      <c r="A57" s="104"/>
      <c r="B57" s="104"/>
      <c r="C57" s="161"/>
      <c r="D57" s="161"/>
      <c r="E57" s="105" t="s">
        <v>41</v>
      </c>
      <c r="F57" s="106" t="s">
        <v>41</v>
      </c>
      <c r="G57" s="106" t="s">
        <v>41</v>
      </c>
      <c r="H57" s="105" t="s">
        <v>41</v>
      </c>
      <c r="I57" s="106" t="s">
        <v>41</v>
      </c>
      <c r="J57" s="106" t="s">
        <v>41</v>
      </c>
      <c r="K57" s="109"/>
      <c r="L57" s="104"/>
      <c r="M57" s="104"/>
      <c r="N57" s="107"/>
      <c r="O57" s="162">
        <f>SUM(Taulukko1[[#This Row],[Tapahtumien määrä]])*(Taulukko1[[#This Row],[Tapaamiskerrat /lapsi]])*(Taulukko1[[#This Row],[Kesto (min) / tapaaminen]])</f>
        <v>0</v>
      </c>
      <c r="P57" s="107"/>
      <c r="Q57" s="108"/>
      <c r="R57" s="104"/>
      <c r="S57" s="163">
        <f>SUM((Taulukko1[[#This Row],[Kävijämäärä a) lapset]]+Taulukko1[[#This Row],[Kävijämäärä b) aikuiset]]))</f>
        <v>0</v>
      </c>
      <c r="T57" s="162">
        <f t="shared" si="1"/>
        <v>0</v>
      </c>
      <c r="U57" s="105" t="s">
        <v>41</v>
      </c>
      <c r="V57" s="105" t="s">
        <v>41</v>
      </c>
      <c r="W57" s="105" t="s">
        <v>41</v>
      </c>
      <c r="X57" s="116"/>
      <c r="Y57" s="109"/>
    </row>
    <row r="58" spans="1:25" x14ac:dyDescent="0.25">
      <c r="A58" s="104"/>
      <c r="B58" s="104"/>
      <c r="C58" s="161"/>
      <c r="D58" s="161"/>
      <c r="E58" s="105" t="s">
        <v>41</v>
      </c>
      <c r="F58" s="106" t="s">
        <v>41</v>
      </c>
      <c r="G58" s="106" t="s">
        <v>41</v>
      </c>
      <c r="H58" s="105" t="s">
        <v>41</v>
      </c>
      <c r="I58" s="106" t="s">
        <v>41</v>
      </c>
      <c r="J58" s="106" t="s">
        <v>41</v>
      </c>
      <c r="K58" s="109"/>
      <c r="L58" s="104"/>
      <c r="M58" s="104"/>
      <c r="N58" s="107"/>
      <c r="O58" s="162">
        <f>SUM(Taulukko1[[#This Row],[Tapahtumien määrä]])*(Taulukko1[[#This Row],[Tapaamiskerrat /lapsi]])*(Taulukko1[[#This Row],[Kesto (min) / tapaaminen]])</f>
        <v>0</v>
      </c>
      <c r="P58" s="107"/>
      <c r="Q58" s="108"/>
      <c r="R58" s="104"/>
      <c r="S58" s="163">
        <f>SUM((Taulukko1[[#This Row],[Kävijämäärä a) lapset]]+Taulukko1[[#This Row],[Kävijämäärä b) aikuiset]]))</f>
        <v>0</v>
      </c>
      <c r="T58" s="162">
        <f t="shared" si="1"/>
        <v>0</v>
      </c>
      <c r="U58" s="105" t="s">
        <v>41</v>
      </c>
      <c r="V58" s="105" t="s">
        <v>41</v>
      </c>
      <c r="W58" s="105" t="s">
        <v>41</v>
      </c>
      <c r="X58" s="116"/>
      <c r="Y58" s="109"/>
    </row>
    <row r="59" spans="1:25" x14ac:dyDescent="0.25">
      <c r="A59" s="104"/>
      <c r="B59" s="104"/>
      <c r="C59" s="161"/>
      <c r="D59" s="161"/>
      <c r="E59" s="105" t="s">
        <v>41</v>
      </c>
      <c r="F59" s="106" t="s">
        <v>41</v>
      </c>
      <c r="G59" s="106" t="s">
        <v>41</v>
      </c>
      <c r="H59" s="105" t="s">
        <v>41</v>
      </c>
      <c r="I59" s="106" t="s">
        <v>41</v>
      </c>
      <c r="J59" s="106" t="s">
        <v>41</v>
      </c>
      <c r="K59" s="109"/>
      <c r="L59" s="104"/>
      <c r="M59" s="104"/>
      <c r="N59" s="107"/>
      <c r="O59" s="162">
        <f>SUM(Taulukko1[[#This Row],[Tapahtumien määrä]])*(Taulukko1[[#This Row],[Tapaamiskerrat /lapsi]])*(Taulukko1[[#This Row],[Kesto (min) / tapaaminen]])</f>
        <v>0</v>
      </c>
      <c r="P59" s="107"/>
      <c r="Q59" s="108"/>
      <c r="R59" s="104"/>
      <c r="S59" s="163">
        <f>SUM((Taulukko1[[#This Row],[Kävijämäärä a) lapset]]+Taulukko1[[#This Row],[Kävijämäärä b) aikuiset]]))</f>
        <v>0</v>
      </c>
      <c r="T59" s="163">
        <f t="shared" si="1"/>
        <v>0</v>
      </c>
      <c r="U59" s="105" t="s">
        <v>41</v>
      </c>
      <c r="V59" s="105" t="s">
        <v>41</v>
      </c>
      <c r="W59" s="105" t="s">
        <v>41</v>
      </c>
      <c r="X59" s="116"/>
      <c r="Y59" s="109"/>
    </row>
    <row r="60" spans="1:25" x14ac:dyDescent="0.25">
      <c r="A60" s="104"/>
      <c r="B60" s="104"/>
      <c r="C60" s="161"/>
      <c r="D60" s="161"/>
      <c r="E60" s="105" t="s">
        <v>41</v>
      </c>
      <c r="F60" s="106" t="s">
        <v>41</v>
      </c>
      <c r="G60" s="106" t="s">
        <v>41</v>
      </c>
      <c r="H60" s="105" t="s">
        <v>41</v>
      </c>
      <c r="I60" s="106" t="s">
        <v>41</v>
      </c>
      <c r="J60" s="106" t="s">
        <v>41</v>
      </c>
      <c r="K60" s="109"/>
      <c r="L60" s="104"/>
      <c r="M60" s="104"/>
      <c r="N60" s="107"/>
      <c r="O60" s="162">
        <f>SUM(Taulukko1[[#This Row],[Tapahtumien määrä]])*(Taulukko1[[#This Row],[Tapaamiskerrat /lapsi]])*(Taulukko1[[#This Row],[Kesto (min) / tapaaminen]])</f>
        <v>0</v>
      </c>
      <c r="P60" s="107"/>
      <c r="Q60" s="108"/>
      <c r="R60" s="104"/>
      <c r="S60" s="163">
        <f>SUM((Taulukko1[[#This Row],[Kävijämäärä a) lapset]]+Taulukko1[[#This Row],[Kävijämäärä b) aikuiset]]))</f>
        <v>0</v>
      </c>
      <c r="T60" s="163">
        <f t="shared" si="1"/>
        <v>0</v>
      </c>
      <c r="U60" s="105" t="s">
        <v>41</v>
      </c>
      <c r="V60" s="105" t="s">
        <v>41</v>
      </c>
      <c r="W60" s="105" t="s">
        <v>41</v>
      </c>
      <c r="X60" s="116"/>
      <c r="Y60" s="109"/>
    </row>
    <row r="61" spans="1:25" x14ac:dyDescent="0.25">
      <c r="A61" s="104"/>
      <c r="B61" s="104"/>
      <c r="C61" s="161"/>
      <c r="D61" s="161"/>
      <c r="E61" s="105" t="s">
        <v>41</v>
      </c>
      <c r="F61" s="106" t="s">
        <v>41</v>
      </c>
      <c r="G61" s="106" t="s">
        <v>41</v>
      </c>
      <c r="H61" s="105" t="s">
        <v>41</v>
      </c>
      <c r="I61" s="106" t="s">
        <v>41</v>
      </c>
      <c r="J61" s="106" t="s">
        <v>41</v>
      </c>
      <c r="K61" s="109"/>
      <c r="L61" s="104"/>
      <c r="M61" s="104"/>
      <c r="N61" s="107"/>
      <c r="O61" s="162">
        <f>SUM(Taulukko1[[#This Row],[Tapahtumien määrä]])*(Taulukko1[[#This Row],[Tapaamiskerrat /lapsi]])*(Taulukko1[[#This Row],[Kesto (min) / tapaaminen]])</f>
        <v>0</v>
      </c>
      <c r="P61" s="107"/>
      <c r="Q61" s="108"/>
      <c r="R61" s="104"/>
      <c r="S61" s="163">
        <f>SUM((Taulukko1[[#This Row],[Kävijämäärä a) lapset]]+Taulukko1[[#This Row],[Kävijämäärä b) aikuiset]]))</f>
        <v>0</v>
      </c>
      <c r="T61" s="163">
        <f t="shared" si="1"/>
        <v>0</v>
      </c>
      <c r="U61" s="105" t="s">
        <v>41</v>
      </c>
      <c r="V61" s="105" t="s">
        <v>41</v>
      </c>
      <c r="W61" s="105" t="s">
        <v>41</v>
      </c>
      <c r="X61" s="116"/>
      <c r="Y61" s="109"/>
    </row>
    <row r="62" spans="1:25" x14ac:dyDescent="0.25">
      <c r="A62" s="104"/>
      <c r="B62" s="104"/>
      <c r="C62" s="161"/>
      <c r="D62" s="161"/>
      <c r="E62" s="105" t="s">
        <v>41</v>
      </c>
      <c r="F62" s="106" t="s">
        <v>41</v>
      </c>
      <c r="G62" s="106" t="s">
        <v>41</v>
      </c>
      <c r="H62" s="105" t="s">
        <v>41</v>
      </c>
      <c r="I62" s="106" t="s">
        <v>41</v>
      </c>
      <c r="J62" s="106" t="s">
        <v>41</v>
      </c>
      <c r="K62" s="109"/>
      <c r="L62" s="104"/>
      <c r="M62" s="104"/>
      <c r="N62" s="107"/>
      <c r="O62" s="162">
        <f>SUM(Taulukko1[[#This Row],[Tapahtumien määrä]])*(Taulukko1[[#This Row],[Tapaamiskerrat /lapsi]])*(Taulukko1[[#This Row],[Kesto (min) / tapaaminen]])</f>
        <v>0</v>
      </c>
      <c r="P62" s="107"/>
      <c r="Q62" s="108"/>
      <c r="R62" s="104"/>
      <c r="S62" s="163">
        <f>SUM((Taulukko1[[#This Row],[Kävijämäärä a) lapset]]+Taulukko1[[#This Row],[Kävijämäärä b) aikuiset]]))</f>
        <v>0</v>
      </c>
      <c r="T62" s="163">
        <f t="shared" si="1"/>
        <v>0</v>
      </c>
      <c r="U62" s="105" t="s">
        <v>41</v>
      </c>
      <c r="V62" s="105" t="s">
        <v>41</v>
      </c>
      <c r="W62" s="105" t="s">
        <v>41</v>
      </c>
      <c r="X62" s="116"/>
      <c r="Y62" s="109"/>
    </row>
    <row r="63" spans="1:25" x14ac:dyDescent="0.25">
      <c r="A63" s="104"/>
      <c r="B63" s="104"/>
      <c r="C63" s="161"/>
      <c r="D63" s="161"/>
      <c r="E63" s="105" t="s">
        <v>41</v>
      </c>
      <c r="F63" s="106" t="s">
        <v>41</v>
      </c>
      <c r="G63" s="106" t="s">
        <v>41</v>
      </c>
      <c r="H63" s="105" t="s">
        <v>41</v>
      </c>
      <c r="I63" s="106" t="s">
        <v>41</v>
      </c>
      <c r="J63" s="106" t="s">
        <v>41</v>
      </c>
      <c r="K63" s="109"/>
      <c r="L63" s="104"/>
      <c r="M63" s="104"/>
      <c r="N63" s="107"/>
      <c r="O63" s="162">
        <f>SUM(Taulukko1[[#This Row],[Tapahtumien määrä]])*(Taulukko1[[#This Row],[Tapaamiskerrat /lapsi]])*(Taulukko1[[#This Row],[Kesto (min) / tapaaminen]])</f>
        <v>0</v>
      </c>
      <c r="P63" s="107"/>
      <c r="Q63" s="108"/>
      <c r="R63" s="104"/>
      <c r="S63" s="163">
        <f>SUM((Taulukko1[[#This Row],[Kävijämäärä a) lapset]]+Taulukko1[[#This Row],[Kävijämäärä b) aikuiset]]))</f>
        <v>0</v>
      </c>
      <c r="T63" s="163">
        <f t="shared" si="1"/>
        <v>0</v>
      </c>
      <c r="U63" s="105" t="s">
        <v>41</v>
      </c>
      <c r="V63" s="105" t="s">
        <v>41</v>
      </c>
      <c r="W63" s="105" t="s">
        <v>41</v>
      </c>
      <c r="X63" s="116"/>
      <c r="Y63" s="109"/>
    </row>
    <row r="64" spans="1:25" x14ac:dyDescent="0.25">
      <c r="A64" s="104"/>
      <c r="B64" s="104"/>
      <c r="C64" s="161"/>
      <c r="D64" s="161"/>
      <c r="E64" s="105" t="s">
        <v>41</v>
      </c>
      <c r="F64" s="106" t="s">
        <v>41</v>
      </c>
      <c r="G64" s="106" t="s">
        <v>41</v>
      </c>
      <c r="H64" s="105" t="s">
        <v>41</v>
      </c>
      <c r="I64" s="106" t="s">
        <v>41</v>
      </c>
      <c r="J64" s="106" t="s">
        <v>41</v>
      </c>
      <c r="K64" s="109"/>
      <c r="L64" s="104"/>
      <c r="M64" s="104"/>
      <c r="N64" s="107"/>
      <c r="O64" s="162">
        <f>SUM(Taulukko1[[#This Row],[Tapahtumien määrä]])*(Taulukko1[[#This Row],[Tapaamiskerrat /lapsi]])*(Taulukko1[[#This Row],[Kesto (min) / tapaaminen]])</f>
        <v>0</v>
      </c>
      <c r="P64" s="107"/>
      <c r="Q64" s="108"/>
      <c r="R64" s="104"/>
      <c r="S64" s="163">
        <f>SUM((Taulukko1[[#This Row],[Kävijämäärä a) lapset]]+Taulukko1[[#This Row],[Kävijämäärä b) aikuiset]]))</f>
        <v>0</v>
      </c>
      <c r="T64" s="163">
        <f t="shared" si="1"/>
        <v>0</v>
      </c>
      <c r="U64" s="105" t="s">
        <v>41</v>
      </c>
      <c r="V64" s="105" t="s">
        <v>41</v>
      </c>
      <c r="W64" s="105" t="s">
        <v>41</v>
      </c>
      <c r="X64" s="116"/>
      <c r="Y64" s="109"/>
    </row>
    <row r="65" spans="1:25" x14ac:dyDescent="0.25">
      <c r="A65" s="104"/>
      <c r="B65" s="104"/>
      <c r="C65" s="161"/>
      <c r="D65" s="161"/>
      <c r="E65" s="105" t="s">
        <v>41</v>
      </c>
      <c r="F65" s="106" t="s">
        <v>41</v>
      </c>
      <c r="G65" s="106" t="s">
        <v>41</v>
      </c>
      <c r="H65" s="105" t="s">
        <v>41</v>
      </c>
      <c r="I65" s="106" t="s">
        <v>41</v>
      </c>
      <c r="J65" s="106" t="s">
        <v>41</v>
      </c>
      <c r="K65" s="109"/>
      <c r="L65" s="104"/>
      <c r="M65" s="104"/>
      <c r="N65" s="107"/>
      <c r="O65" s="162">
        <f>SUM(Taulukko1[[#This Row],[Tapahtumien määrä]])*(Taulukko1[[#This Row],[Tapaamiskerrat /lapsi]])*(Taulukko1[[#This Row],[Kesto (min) / tapaaminen]])</f>
        <v>0</v>
      </c>
      <c r="P65" s="107"/>
      <c r="Q65" s="108"/>
      <c r="R65" s="104"/>
      <c r="S65" s="163">
        <f>SUM((Taulukko1[[#This Row],[Kävijämäärä a) lapset]]+Taulukko1[[#This Row],[Kävijämäärä b) aikuiset]]))</f>
        <v>0</v>
      </c>
      <c r="T65" s="163">
        <f t="shared" si="1"/>
        <v>0</v>
      </c>
      <c r="U65" s="105" t="s">
        <v>41</v>
      </c>
      <c r="V65" s="105" t="s">
        <v>41</v>
      </c>
      <c r="W65" s="105" t="s">
        <v>41</v>
      </c>
      <c r="X65" s="116"/>
      <c r="Y65" s="109"/>
    </row>
    <row r="66" spans="1:25" x14ac:dyDescent="0.25">
      <c r="A66" s="104"/>
      <c r="B66" s="104"/>
      <c r="C66" s="161"/>
      <c r="D66" s="161"/>
      <c r="E66" s="105" t="s">
        <v>41</v>
      </c>
      <c r="F66" s="106" t="s">
        <v>41</v>
      </c>
      <c r="G66" s="106" t="s">
        <v>41</v>
      </c>
      <c r="H66" s="105" t="s">
        <v>41</v>
      </c>
      <c r="I66" s="106" t="s">
        <v>41</v>
      </c>
      <c r="J66" s="106" t="s">
        <v>41</v>
      </c>
      <c r="K66" s="109"/>
      <c r="L66" s="104"/>
      <c r="M66" s="104"/>
      <c r="N66" s="107"/>
      <c r="O66" s="162">
        <f>SUM(Taulukko1[[#This Row],[Tapahtumien määrä]])*(Taulukko1[[#This Row],[Tapaamiskerrat /lapsi]])*(Taulukko1[[#This Row],[Kesto (min) / tapaaminen]])</f>
        <v>0</v>
      </c>
      <c r="P66" s="107"/>
      <c r="Q66" s="108"/>
      <c r="R66" s="104"/>
      <c r="S66" s="163">
        <f>SUM((Taulukko1[[#This Row],[Kävijämäärä a) lapset]]+Taulukko1[[#This Row],[Kävijämäärä b) aikuiset]]))</f>
        <v>0</v>
      </c>
      <c r="T66" s="163">
        <f t="shared" si="1"/>
        <v>0</v>
      </c>
      <c r="U66" s="105" t="s">
        <v>41</v>
      </c>
      <c r="V66" s="105" t="s">
        <v>41</v>
      </c>
      <c r="W66" s="105" t="s">
        <v>41</v>
      </c>
      <c r="X66" s="116"/>
      <c r="Y66" s="109"/>
    </row>
    <row r="67" spans="1:25" ht="15.75" thickBot="1" x14ac:dyDescent="0.3">
      <c r="A67" s="104"/>
      <c r="B67" s="104"/>
      <c r="C67" s="161"/>
      <c r="D67" s="161"/>
      <c r="E67" s="105" t="s">
        <v>41</v>
      </c>
      <c r="F67" s="106" t="s">
        <v>41</v>
      </c>
      <c r="G67" s="106" t="s">
        <v>41</v>
      </c>
      <c r="H67" s="105" t="s">
        <v>41</v>
      </c>
      <c r="I67" s="106" t="s">
        <v>41</v>
      </c>
      <c r="J67" s="106" t="s">
        <v>41</v>
      </c>
      <c r="K67" s="109"/>
      <c r="L67" s="104"/>
      <c r="M67" s="104"/>
      <c r="N67" s="107"/>
      <c r="O67" s="162">
        <f>SUM(Taulukko1[[#This Row],[Tapahtumien määrä]])*(Taulukko1[[#This Row],[Tapaamiskerrat /lapsi]])*(Taulukko1[[#This Row],[Kesto (min) / tapaaminen]])</f>
        <v>0</v>
      </c>
      <c r="P67" s="107"/>
      <c r="Q67" s="108"/>
      <c r="R67" s="104"/>
      <c r="S67" s="163">
        <f>SUM((Taulukko1[[#This Row],[Kävijämäärä a) lapset]]+Taulukko1[[#This Row],[Kävijämäärä b) aikuiset]]))</f>
        <v>0</v>
      </c>
      <c r="T67" s="163">
        <f t="shared" si="1"/>
        <v>0</v>
      </c>
      <c r="U67" s="105" t="s">
        <v>41</v>
      </c>
      <c r="V67" s="105" t="s">
        <v>41</v>
      </c>
      <c r="W67" s="105" t="s">
        <v>41</v>
      </c>
      <c r="X67" s="116"/>
      <c r="Y67" s="109"/>
    </row>
    <row r="68" spans="1:25" ht="16.5" thickTop="1" thickBot="1" x14ac:dyDescent="0.3">
      <c r="A68" s="143"/>
      <c r="B68" s="143">
        <f>SUBTOTAL(109,$B$3:$B67)</f>
        <v>0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>
        <f>SUBTOTAL(109,$N$3:N67)</f>
        <v>0</v>
      </c>
      <c r="O68" s="144">
        <f>SUBTOTAL(109,$O$3:O67)</f>
        <v>0</v>
      </c>
      <c r="P68" s="143">
        <f>SUBTOTAL(109,$P$3:P67)</f>
        <v>0</v>
      </c>
      <c r="Q68" s="143">
        <f>SUBTOTAL(109,$Q$3:Q67)</f>
        <v>0</v>
      </c>
      <c r="R68" s="143">
        <f>SUBTOTAL(109,$R$3:R67)</f>
        <v>0</v>
      </c>
      <c r="S68" s="144">
        <f>SUBTOTAL(109,$S$3:$S67)</f>
        <v>0</v>
      </c>
      <c r="T68" s="143">
        <f t="shared" ref="T68" si="2">SUM(S68*P68)</f>
        <v>0</v>
      </c>
      <c r="U68" s="148"/>
      <c r="V68" s="143"/>
      <c r="W68" s="143"/>
      <c r="X68" s="143"/>
      <c r="Y68" s="143"/>
    </row>
    <row r="69" spans="1:25" ht="15.75" thickTop="1" x14ac:dyDescent="0.25"/>
    <row r="72" spans="1:25" x14ac:dyDescent="0.25">
      <c r="O72" s="102"/>
    </row>
  </sheetData>
  <sheetProtection formatCells="0" insertColumns="0" insertRows="0"/>
  <mergeCells count="2">
    <mergeCell ref="M1:W1"/>
    <mergeCell ref="A1:L1"/>
  </mergeCells>
  <dataValidations xWindow="397" yWindow="304" count="2">
    <dataValidation type="date" allowBlank="1" showInputMessage="1" showErrorMessage="1" errorTitle="Virhe" error="Tarkista päivämäärä." promptTitle="Päivämäärä" prompt="Merkitse päivämäärä muodossa 1.1.2018." sqref="C3:C68">
      <formula1>43101</formula1>
      <formula2>43465</formula2>
    </dataValidation>
    <dataValidation type="date" allowBlank="1" showInputMessage="1" showErrorMessage="1" errorTitle="Virhe" error="Tarkista päivämäärä." promptTitle="Päivämäärä" prompt="Merkitse päivämäärä muodossa 31.12.2018." sqref="D3:D68">
      <formula1>43101</formula1>
      <formula2>43465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397" yWindow="304" count="8">
        <x14:dataValidation type="list" allowBlank="1" showInputMessage="1" showErrorMessage="1">
          <x14:formula1>
            <xm:f>'YHTEENVETO koko toiminta'!$A$37:$A$44</xm:f>
          </x14:formula1>
          <xm:sqref>H3:H68</xm:sqref>
        </x14:dataValidation>
        <x14:dataValidation type="list" allowBlank="1" showInputMessage="1" showErrorMessage="1">
          <x14:formula1>
            <xm:f>'YHTEENVETO koko toiminta'!$A$45:$A$50</xm:f>
          </x14:formula1>
          <xm:sqref>I3:I68</xm:sqref>
        </x14:dataValidation>
        <x14:dataValidation type="list" allowBlank="1" showInputMessage="1" showErrorMessage="1">
          <x14:formula1>
            <xm:f>'YHTEENVETO koko toiminta'!$A$69:$A$77</xm:f>
          </x14:formula1>
          <xm:sqref>V3:V68</xm:sqref>
        </x14:dataValidation>
        <x14:dataValidation type="list" allowBlank="1" showInputMessage="1" showErrorMessage="1">
          <x14:formula1>
            <xm:f>'YHTEENVETO koko toiminta'!$A$78:$A$86</xm:f>
          </x14:formula1>
          <xm:sqref>W3:W68</xm:sqref>
        </x14:dataValidation>
        <x14:dataValidation type="list" allowBlank="1" showInputMessage="1" showErrorMessage="1">
          <x14:formula1>
            <xm:f>'YHTEENVETO koko toiminta'!$A$51:$A$64</xm:f>
          </x14:formula1>
          <xm:sqref>J3:J68</xm:sqref>
        </x14:dataValidation>
        <x14:dataValidation type="list" allowBlank="1" showInputMessage="1" showErrorMessage="1">
          <x14:formula1>
            <xm:f>'YHTEENVETO koko toiminta'!$A$13:$A$24</xm:f>
          </x14:formula1>
          <xm:sqref>F3:G68</xm:sqref>
        </x14:dataValidation>
        <x14:dataValidation type="list" allowBlank="1" showInputMessage="1" showErrorMessage="1">
          <x14:formula1>
            <xm:f>'YHTEENVETO koko toiminta'!$A$7:$A$12</xm:f>
          </x14:formula1>
          <xm:sqref>E3:E68</xm:sqref>
        </x14:dataValidation>
        <x14:dataValidation type="list" allowBlank="1" showInputMessage="1" showErrorMessage="1">
          <x14:formula1>
            <xm:f>'YHTEENVETO koko toiminta'!$A$65:$A$68</xm:f>
          </x14:formula1>
          <xm:sqref>U3:U68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/>
  <dimension ref="A1:H47"/>
  <sheetViews>
    <sheetView topLeftCell="A25" workbookViewId="0">
      <selection activeCell="D8" sqref="D8"/>
    </sheetView>
  </sheetViews>
  <sheetFormatPr defaultRowHeight="15" x14ac:dyDescent="0.25"/>
  <cols>
    <col min="1" max="1" width="48.42578125" customWidth="1"/>
    <col min="2" max="2" width="22.5703125" customWidth="1"/>
    <col min="3" max="3" width="14.28515625" customWidth="1"/>
    <col min="4" max="4" width="18.140625" customWidth="1"/>
    <col min="5" max="5" width="15.7109375" customWidth="1"/>
    <col min="6" max="6" width="26.7109375" customWidth="1"/>
    <col min="7" max="7" width="14.7109375" customWidth="1"/>
    <col min="8" max="8" width="26.7109375" customWidth="1"/>
  </cols>
  <sheetData>
    <row r="1" spans="1:6" ht="19.5" customHeight="1" thickBot="1" x14ac:dyDescent="0.3">
      <c r="A1" s="169" t="s">
        <v>200</v>
      </c>
      <c r="B1" s="170"/>
      <c r="C1" s="2"/>
      <c r="D1" s="2"/>
      <c r="E1" s="2"/>
      <c r="F1" s="2"/>
    </row>
    <row r="2" spans="1:6" ht="17.25" customHeight="1" thickBot="1" x14ac:dyDescent="0.3">
      <c r="A2" s="169" t="s">
        <v>0</v>
      </c>
      <c r="B2" s="170"/>
      <c r="C2" s="2"/>
      <c r="D2" s="2"/>
      <c r="E2" s="2"/>
      <c r="F2" s="2"/>
    </row>
    <row r="3" spans="1:6" s="92" customFormat="1" ht="17.25" customHeight="1" thickBot="1" x14ac:dyDescent="0.3">
      <c r="A3" s="131"/>
      <c r="B3" s="132"/>
      <c r="C3" s="2"/>
      <c r="D3" s="2"/>
      <c r="E3" s="2"/>
      <c r="F3" s="2"/>
    </row>
    <row r="4" spans="1:6" s="92" customFormat="1" ht="17.25" customHeight="1" thickBot="1" x14ac:dyDescent="0.3">
      <c r="A4" s="131" t="s">
        <v>201</v>
      </c>
      <c r="B4" s="147"/>
      <c r="C4" s="2"/>
      <c r="D4" s="2"/>
      <c r="E4" s="2"/>
      <c r="F4" s="2"/>
    </row>
    <row r="5" spans="1:6" s="92" customFormat="1" ht="17.25" customHeight="1" thickBot="1" x14ac:dyDescent="0.3">
      <c r="A5" s="133" t="s">
        <v>166</v>
      </c>
      <c r="B5" s="9"/>
      <c r="C5" s="2"/>
      <c r="D5" s="2"/>
      <c r="E5" s="2"/>
      <c r="F5" s="2"/>
    </row>
    <row r="6" spans="1:6" s="92" customFormat="1" ht="17.25" customHeight="1" thickBot="1" x14ac:dyDescent="0.3">
      <c r="A6" s="133" t="s">
        <v>168</v>
      </c>
      <c r="B6" s="9"/>
      <c r="C6" s="2"/>
      <c r="D6" s="2"/>
      <c r="E6" s="2"/>
      <c r="F6" s="2"/>
    </row>
    <row r="7" spans="1:6" s="92" customFormat="1" ht="17.25" customHeight="1" thickBot="1" x14ac:dyDescent="0.3">
      <c r="A7" s="133" t="s">
        <v>172</v>
      </c>
      <c r="B7" s="9"/>
      <c r="C7" s="2"/>
      <c r="D7" s="2"/>
      <c r="E7" s="2"/>
      <c r="F7" s="2"/>
    </row>
    <row r="8" spans="1:6" s="92" customFormat="1" ht="17.25" customHeight="1" thickBot="1" x14ac:dyDescent="0.3">
      <c r="A8" s="133" t="s">
        <v>167</v>
      </c>
      <c r="B8" s="9"/>
      <c r="C8" s="2"/>
      <c r="D8" s="2"/>
      <c r="E8" s="2"/>
      <c r="F8" s="2"/>
    </row>
    <row r="9" spans="1:6" s="92" customFormat="1" ht="17.25" customHeight="1" thickBot="1" x14ac:dyDescent="0.3">
      <c r="A9" s="131"/>
      <c r="B9" s="132"/>
      <c r="C9" s="2"/>
      <c r="D9" s="2"/>
      <c r="E9" s="2"/>
      <c r="F9" s="2"/>
    </row>
    <row r="10" spans="1:6" ht="15.75" customHeight="1" thickBot="1" x14ac:dyDescent="0.3">
      <c r="A10" s="171" t="s">
        <v>7</v>
      </c>
      <c r="B10" s="172"/>
    </row>
    <row r="11" spans="1:6" ht="16.5" customHeight="1" x14ac:dyDescent="0.25">
      <c r="A11" s="6" t="s">
        <v>18</v>
      </c>
      <c r="B11" s="6"/>
    </row>
    <row r="12" spans="1:6" x14ac:dyDescent="0.25">
      <c r="A12" s="36" t="s">
        <v>8</v>
      </c>
      <c r="B12" s="9"/>
    </row>
    <row r="13" spans="1:6" s="92" customFormat="1" x14ac:dyDescent="0.25">
      <c r="A13" s="36" t="s">
        <v>138</v>
      </c>
      <c r="B13" s="9"/>
    </row>
    <row r="14" spans="1:6" ht="18" customHeight="1" x14ac:dyDescent="0.25">
      <c r="A14" s="36" t="s">
        <v>142</v>
      </c>
      <c r="B14" s="9"/>
    </row>
    <row r="15" spans="1:6" ht="16.5" customHeight="1" x14ac:dyDescent="0.25">
      <c r="A15" s="36" t="s">
        <v>10</v>
      </c>
      <c r="B15" s="9"/>
    </row>
    <row r="16" spans="1:6" x14ac:dyDescent="0.25">
      <c r="A16" s="37" t="s">
        <v>17</v>
      </c>
      <c r="B16" s="7"/>
      <c r="D16" s="3"/>
    </row>
    <row r="17" spans="1:4" x14ac:dyDescent="0.25">
      <c r="A17" s="36" t="s">
        <v>8</v>
      </c>
      <c r="B17" s="9"/>
      <c r="D17" s="3"/>
    </row>
    <row r="18" spans="1:4" x14ac:dyDescent="0.25">
      <c r="A18" s="36" t="s">
        <v>9</v>
      </c>
      <c r="B18" s="9"/>
      <c r="D18" s="3"/>
    </row>
    <row r="19" spans="1:4" x14ac:dyDescent="0.25">
      <c r="A19" s="38" t="s">
        <v>10</v>
      </c>
      <c r="B19" s="10"/>
    </row>
    <row r="20" spans="1:4" x14ac:dyDescent="0.25">
      <c r="A20" s="39" t="s">
        <v>13</v>
      </c>
      <c r="B20" s="8"/>
    </row>
    <row r="21" spans="1:4" x14ac:dyDescent="0.25">
      <c r="A21" s="40" t="s">
        <v>14</v>
      </c>
      <c r="B21" s="10"/>
    </row>
    <row r="22" spans="1:4" x14ac:dyDescent="0.25">
      <c r="A22" s="40" t="s">
        <v>15</v>
      </c>
      <c r="B22" s="10"/>
    </row>
    <row r="23" spans="1:4" ht="15.75" thickBot="1" x14ac:dyDescent="0.3">
      <c r="A23" s="41" t="s">
        <v>16</v>
      </c>
      <c r="B23" s="11"/>
    </row>
    <row r="24" spans="1:4" ht="15.75" thickBot="1" x14ac:dyDescent="0.3">
      <c r="B24" s="4"/>
      <c r="C24" s="3"/>
    </row>
    <row r="25" spans="1:4" ht="15.75" thickBot="1" x14ac:dyDescent="0.3">
      <c r="A25" s="169" t="s">
        <v>11</v>
      </c>
      <c r="B25" s="170"/>
    </row>
    <row r="26" spans="1:4" x14ac:dyDescent="0.25">
      <c r="A26" s="134" t="s">
        <v>170</v>
      </c>
      <c r="B26" s="12"/>
    </row>
    <row r="27" spans="1:4" ht="15.75" thickBot="1" x14ac:dyDescent="0.3">
      <c r="A27" s="135" t="s">
        <v>171</v>
      </c>
      <c r="B27" s="13"/>
    </row>
    <row r="28" spans="1:4" ht="15.75" thickBot="1" x14ac:dyDescent="0.3">
      <c r="A28" s="5"/>
      <c r="B28" s="1"/>
    </row>
    <row r="29" spans="1:4" ht="15.75" thickBot="1" x14ac:dyDescent="0.3">
      <c r="A29" s="169" t="s">
        <v>12</v>
      </c>
      <c r="B29" s="170"/>
    </row>
    <row r="30" spans="1:4" x14ac:dyDescent="0.25">
      <c r="A30" s="42" t="s">
        <v>20</v>
      </c>
      <c r="B30" s="14"/>
    </row>
    <row r="31" spans="1:4" x14ac:dyDescent="0.25">
      <c r="A31" s="43" t="s">
        <v>19</v>
      </c>
      <c r="B31" s="15"/>
    </row>
    <row r="32" spans="1:4" x14ac:dyDescent="0.25">
      <c r="A32" s="38" t="s">
        <v>21</v>
      </c>
      <c r="B32" s="16"/>
    </row>
    <row r="33" spans="1:8" ht="15.75" thickBot="1" x14ac:dyDescent="0.3">
      <c r="A33" s="44" t="s">
        <v>22</v>
      </c>
      <c r="B33" s="13"/>
    </row>
    <row r="34" spans="1:8" s="35" customFormat="1" ht="15.75" thickBot="1" x14ac:dyDescent="0.3">
      <c r="A34" s="34"/>
      <c r="B34" s="34"/>
    </row>
    <row r="35" spans="1:8" s="28" customFormat="1" ht="15.75" thickBot="1" x14ac:dyDescent="0.3">
      <c r="A35" s="173" t="s">
        <v>65</v>
      </c>
      <c r="B35" s="174"/>
    </row>
    <row r="36" spans="1:8" s="28" customFormat="1" x14ac:dyDescent="0.25">
      <c r="A36" s="29" t="s">
        <v>43</v>
      </c>
      <c r="B36" s="32"/>
    </row>
    <row r="37" spans="1:8" s="28" customFormat="1" x14ac:dyDescent="0.25">
      <c r="A37" s="30" t="s">
        <v>44</v>
      </c>
      <c r="B37" s="33"/>
    </row>
    <row r="38" spans="1:8" s="28" customFormat="1" ht="15.75" thickBot="1" x14ac:dyDescent="0.3">
      <c r="A38" s="31" t="s">
        <v>45</v>
      </c>
      <c r="B38" s="33"/>
    </row>
    <row r="39" spans="1:8" s="28" customFormat="1" ht="15.75" thickBot="1" x14ac:dyDescent="0.3">
      <c r="A39" s="31" t="s">
        <v>197</v>
      </c>
      <c r="B39" s="13"/>
    </row>
    <row r="40" spans="1:8" ht="15.75" thickBot="1" x14ac:dyDescent="0.3"/>
    <row r="41" spans="1:8" ht="15.75" thickBot="1" x14ac:dyDescent="0.3">
      <c r="A41" s="175" t="s">
        <v>66</v>
      </c>
      <c r="B41" s="176"/>
      <c r="C41" s="176"/>
      <c r="D41" s="176"/>
      <c r="E41" s="176"/>
      <c r="F41" s="176"/>
      <c r="G41" s="176"/>
      <c r="H41" s="177"/>
    </row>
    <row r="42" spans="1:8" ht="15.75" thickBot="1" x14ac:dyDescent="0.3">
      <c r="A42" s="175" t="s">
        <v>85</v>
      </c>
      <c r="B42" s="176"/>
      <c r="C42" s="176"/>
      <c r="D42" s="176"/>
      <c r="E42" s="176"/>
      <c r="F42" s="176"/>
      <c r="G42" s="176"/>
      <c r="H42" s="177"/>
    </row>
    <row r="43" spans="1:8" ht="30.75" customHeight="1" thickBot="1" x14ac:dyDescent="0.3">
      <c r="A43" s="169" t="s">
        <v>84</v>
      </c>
      <c r="B43" s="170"/>
      <c r="C43" s="27" t="s">
        <v>26</v>
      </c>
      <c r="D43" s="27" t="s">
        <v>23</v>
      </c>
      <c r="E43" s="27" t="s">
        <v>27</v>
      </c>
      <c r="F43" s="18" t="s">
        <v>28</v>
      </c>
      <c r="G43" s="27" t="s">
        <v>29</v>
      </c>
      <c r="H43" s="27" t="s">
        <v>30</v>
      </c>
    </row>
    <row r="44" spans="1:8" ht="36.75" customHeight="1" x14ac:dyDescent="0.25">
      <c r="A44" s="19" t="s">
        <v>24</v>
      </c>
      <c r="B44" s="14"/>
      <c r="C44" s="22"/>
      <c r="D44" s="12"/>
      <c r="E44" s="20"/>
      <c r="F44" s="22"/>
      <c r="G44" s="12"/>
      <c r="H44" s="12"/>
    </row>
    <row r="45" spans="1:8" ht="36.75" customHeight="1" thickBot="1" x14ac:dyDescent="0.3">
      <c r="A45" s="21" t="s">
        <v>191</v>
      </c>
      <c r="B45" s="15"/>
      <c r="C45" s="23"/>
      <c r="D45" s="24"/>
      <c r="E45" s="25"/>
      <c r="F45" s="23"/>
      <c r="G45" s="26"/>
      <c r="H45" s="24"/>
    </row>
    <row r="46" spans="1:8" ht="37.5" customHeight="1" x14ac:dyDescent="0.25">
      <c r="A46" s="21" t="s">
        <v>25</v>
      </c>
      <c r="B46" s="46"/>
      <c r="C46" s="5"/>
      <c r="D46" s="17"/>
      <c r="E46" s="3"/>
      <c r="F46" s="17"/>
      <c r="G46" s="3"/>
      <c r="H46" s="17"/>
    </row>
    <row r="47" spans="1:8" ht="38.25" customHeight="1" thickBot="1" x14ac:dyDescent="0.3">
      <c r="A47" s="45" t="s">
        <v>169</v>
      </c>
      <c r="B47" s="47"/>
    </row>
  </sheetData>
  <mergeCells count="9">
    <mergeCell ref="A43:B43"/>
    <mergeCell ref="A25:B25"/>
    <mergeCell ref="A29:B29"/>
    <mergeCell ref="A10:B10"/>
    <mergeCell ref="A1:B1"/>
    <mergeCell ref="A2:B2"/>
    <mergeCell ref="A35:B35"/>
    <mergeCell ref="A41:H41"/>
    <mergeCell ref="A42:H4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1"/>
  <sheetViews>
    <sheetView tabSelected="1" zoomScaleNormal="100" workbookViewId="0">
      <pane ySplit="1" topLeftCell="A16" activePane="bottomLeft" state="frozen"/>
      <selection pane="bottomLeft" activeCell="K45" sqref="K45"/>
    </sheetView>
  </sheetViews>
  <sheetFormatPr defaultColWidth="9.140625" defaultRowHeight="15" x14ac:dyDescent="0.25"/>
  <cols>
    <col min="1" max="1" width="38.85546875" style="50" customWidth="1"/>
    <col min="2" max="2" width="12.85546875" style="62" customWidth="1"/>
    <col min="3" max="3" width="10.42578125" style="62" customWidth="1"/>
    <col min="4" max="4" width="11.42578125" style="62" customWidth="1"/>
    <col min="5" max="5" width="9.5703125" style="62" customWidth="1"/>
    <col min="6" max="6" width="10.140625" style="62" customWidth="1"/>
    <col min="7" max="9" width="10.5703125" style="62" bestFit="1" customWidth="1"/>
    <col min="10" max="10" width="12.28515625" style="62" customWidth="1"/>
    <col min="11" max="11" width="8.85546875" style="77" customWidth="1"/>
    <col min="12" max="12" width="9.28515625" style="77" customWidth="1"/>
    <col min="13" max="13" width="43" style="62" customWidth="1"/>
    <col min="14" max="16384" width="9.140625" style="62"/>
  </cols>
  <sheetData>
    <row r="1" spans="1:13" ht="44.25" customHeight="1" thickBot="1" x14ac:dyDescent="0.3">
      <c r="A1" s="87" t="s">
        <v>199</v>
      </c>
      <c r="B1" s="56" t="s">
        <v>83</v>
      </c>
      <c r="C1" s="56" t="s">
        <v>79</v>
      </c>
      <c r="D1" s="57" t="s">
        <v>76</v>
      </c>
      <c r="E1" s="58" t="s">
        <v>70</v>
      </c>
      <c r="F1" s="58" t="s">
        <v>71</v>
      </c>
      <c r="G1" s="59" t="s">
        <v>190</v>
      </c>
      <c r="H1" s="60" t="s">
        <v>77</v>
      </c>
      <c r="I1" s="60" t="s">
        <v>78</v>
      </c>
      <c r="J1" s="60" t="s">
        <v>106</v>
      </c>
      <c r="K1" s="61" t="s">
        <v>119</v>
      </c>
      <c r="L1" s="61" t="s">
        <v>118</v>
      </c>
    </row>
    <row r="2" spans="1:13" ht="15.75" thickBot="1" x14ac:dyDescent="0.3">
      <c r="A2" s="51" t="s">
        <v>37</v>
      </c>
      <c r="B2" s="49">
        <f>SUM(Taulukko1[Tapahtumien määrä])</f>
        <v>0</v>
      </c>
      <c r="C2" s="63" t="e">
        <f>SUM(Taulukko1[Tapahtumien määrä])/SUM(Taulukko1[Tapahtumien määrä])</f>
        <v>#DIV/0!</v>
      </c>
      <c r="D2" s="65" t="e">
        <f>AVERAGE((Taulukko1[Kesto (min) / tapaaminen]))</f>
        <v>#DIV/0!</v>
      </c>
      <c r="E2" s="81">
        <f>SUM(Taulukko1[Kokonaiskesto (min)])/60</f>
        <v>0</v>
      </c>
      <c r="F2" s="64">
        <f>SUM(Taulukko1[Tapaamiskerrat /lapsi])</f>
        <v>0</v>
      </c>
      <c r="G2" s="64">
        <f>SUM(Taulukko1[Kävijämäärä a) lapset])</f>
        <v>0</v>
      </c>
      <c r="H2" s="64">
        <f>SUM(Taulukko1[Kävijämäärä b) aikuiset])</f>
        <v>0</v>
      </c>
      <c r="I2" s="64">
        <f>SUM(Taulukko1[Kokonaiskävijämäärä])</f>
        <v>0</v>
      </c>
      <c r="J2" s="65">
        <f>K2</f>
        <v>0</v>
      </c>
      <c r="K2" s="82">
        <f>SUM(Taulukko1[Asiakaskontakti (lkm)])</f>
        <v>0</v>
      </c>
      <c r="L2" s="66" t="e">
        <f>SUM(Taulukko1[Asiakaskontakti (lkm)])/SUM(Taulukko1[Asiakaskontakti (lkm)])</f>
        <v>#DIV/0!</v>
      </c>
      <c r="M2" s="67" t="s">
        <v>37</v>
      </c>
    </row>
    <row r="3" spans="1:13" x14ac:dyDescent="0.25">
      <c r="B3" s="77" t="s">
        <v>159</v>
      </c>
    </row>
    <row r="4" spans="1:13" x14ac:dyDescent="0.25">
      <c r="A4" s="55" t="s">
        <v>160</v>
      </c>
      <c r="B4" s="71">
        <f>SUMIFS(Taulukko1[Tapahtumien määrä], Taulukko1[Loppupäivämäärä],"&gt;=1.1.2018",Taulukko1[Loppupäivämäärä],"&lt;=30.4.2018")</f>
        <v>0</v>
      </c>
      <c r="C4" s="130" t="e">
        <f>(SUMIFS(Taulukko1[Tapahtumien määrä], Taulukko1[Loppupäivämäärä],"&gt;=1.1.2018",Taulukko1[Loppupäivämäärä],"&lt;=30.4.2018"))/SUM(Taulukko1[Tapahtumien määrä])</f>
        <v>#DIV/0!</v>
      </c>
      <c r="D4" s="71" t="e">
        <f>AVERAGEIFS(Taulukko1[Kesto (min) / tapaaminen],Taulukko1[Loppupäivämäärä],"&gt;=1.1.2018",Taulukko1[Loppupäivämäärä],"&lt;=30.4.2018")</f>
        <v>#DIV/0!</v>
      </c>
      <c r="E4" s="71">
        <f>SUMIFS(Taulukko1[Kokonaiskesto (min)], Taulukko1[Loppupäivämäärä],"&gt;=1.1.2018",Taulukko1[Loppupäivämäärä],"&lt;=30.4.2018")/60</f>
        <v>0</v>
      </c>
      <c r="F4" s="71">
        <f>SUMIFS(Taulukko1[Tapaamiskerrat /lapsi], Taulukko1[Loppupäivämäärä],"&gt;=1.1.2018",Taulukko1[Loppupäivämäärä],"&lt;=30.4.2018")</f>
        <v>0</v>
      </c>
      <c r="G4" s="71">
        <f>SUMIFS(Taulukko1[Kävijämäärä a) lapset], Taulukko1[Loppupäivämäärä],"&gt;=1.1.2018",Taulukko1[Loppupäivämäärä],"&lt;=30.4.2018")</f>
        <v>0</v>
      </c>
      <c r="H4" s="71">
        <f>SUMIFS(Taulukko1[Kävijämäärä b) aikuiset], Taulukko1[Loppupäivämäärä],"&gt;=1.1.2018",Taulukko1[Loppupäivämäärä],"&lt;=30.4.2018")</f>
        <v>0</v>
      </c>
      <c r="I4" s="71">
        <f>SUMIFS(Taulukko1[Kokonaiskävijämäärä], Taulukko1[Loppupäivämäärä],"&gt;=1.1.2018",Taulukko1[Loppupäivämäärä],"&lt;=30.4.2018")</f>
        <v>0</v>
      </c>
      <c r="J4" s="71" t="e">
        <f>AVERAGEIFS(Taulukko1[Kokonaiskävijämäärä],Taulukko1[Loppupäivämäärä],"&gt;=1.1.2018",Taulukko1[Loppupäivämäärä],"&lt;=30.4.2018")</f>
        <v>#DIV/0!</v>
      </c>
      <c r="K4" s="71">
        <f>SUMIFS(Taulukko1[Asiakaskontakti (lkm)],Taulukko1[Loppupäivämäärä],"&gt;=1.1.2018",Taulukko1[Loppupäivämäärä],"&lt;=30.4.2018")</f>
        <v>0</v>
      </c>
      <c r="L4" s="130" t="e">
        <f>(SUMIFS(Taulukko1[Asiakaskontakti (lkm)], Taulukko1[Loppupäivämäärä],"&gt;=1.1.2018",Taulukko1[Loppupäivämäärä],"&lt;=30.4.2018"))/SUM(Taulukko1[Asiakaskontakti (lkm)])</f>
        <v>#DIV/0!</v>
      </c>
      <c r="M4" s="73" t="s">
        <v>160</v>
      </c>
    </row>
    <row r="5" spans="1:13" x14ac:dyDescent="0.25">
      <c r="A5" s="55" t="s">
        <v>161</v>
      </c>
      <c r="B5" s="71">
        <f>SUMIFS(Taulukko1[Tapahtumien määrä], Taulukko1[Loppupäivämäärä],"&gt;=1.5.2018",Taulukko1[Loppupäivämäärä],"&lt;=31.8.2018")</f>
        <v>0</v>
      </c>
      <c r="C5" s="130" t="e">
        <f>(SUMIFS(Taulukko1[Tapahtumien määrä], Taulukko1[Loppupäivämäärä],"&gt;=1.5.2018",Taulukko1[Loppupäivämäärä],"&lt;=31.8.2018"))/SUM(Taulukko1[Tapahtumien määrä])</f>
        <v>#DIV/0!</v>
      </c>
      <c r="D5" s="71" t="e">
        <f>AVERAGEIFS(Taulukko1[Kesto (min) / tapaaminen],Taulukko1[Loppupäivämäärä],"&gt;=1.5.2018",Taulukko1[Loppupäivämäärä],"&lt;=31.8.2018")</f>
        <v>#DIV/0!</v>
      </c>
      <c r="E5" s="71">
        <f>SUMIFS(Taulukko1[Kokonaiskesto (min)], Taulukko1[Loppupäivämäärä],"&gt;=1.5.2018",Taulukko1[Loppupäivämäärä],"&lt;=31.8.2018")/60</f>
        <v>0</v>
      </c>
      <c r="F5" s="71">
        <f>SUMIFS(Taulukko1[Tapaamiskerrat /lapsi], Taulukko1[Loppupäivämäärä],"&gt;=1.5.2018",Taulukko1[Loppupäivämäärä],"&lt;=31.8.2018")</f>
        <v>0</v>
      </c>
      <c r="G5" s="71">
        <f>SUMIFS(Taulukko1[Kävijämäärä a) lapset], Taulukko1[Loppupäivämäärä],"&gt;=1.5.2018",Taulukko1[Loppupäivämäärä],"&lt;=31.8.2018")</f>
        <v>0</v>
      </c>
      <c r="H5" s="71">
        <f>SUMIFS(Taulukko1[Kävijämäärä b) aikuiset], Taulukko1[Loppupäivämäärä],"&gt;=1.5.2018",Taulukko1[Loppupäivämäärä],"&lt;=31.8.2018")</f>
        <v>0</v>
      </c>
      <c r="I5" s="71">
        <f>SUMIFS(Taulukko1[Kokonaiskävijämäärä], Taulukko1[Loppupäivämäärä],"&gt;=1.5.2018",Taulukko1[Loppupäivämäärä],"&lt;=31.8.2018")</f>
        <v>0</v>
      </c>
      <c r="J5" s="71" t="e">
        <f>AVERAGEIFS(Taulukko1[Kokonaiskävijämäärä],Taulukko1[Loppupäivämäärä],"&gt;=1.5.2018",Taulukko1[Loppupäivämäärä],"&lt;=31.8.2018")</f>
        <v>#DIV/0!</v>
      </c>
      <c r="K5" s="71">
        <f>SUMIFS(Taulukko1[Asiakaskontakti (lkm)],Taulukko1[Loppupäivämäärä],"&gt;=1.5.2018",Taulukko1[Loppupäivämäärä],"&lt;=31.8.2018")</f>
        <v>0</v>
      </c>
      <c r="L5" s="130" t="e">
        <f>(SUMIFS(Taulukko1[Asiakaskontakti (lkm)], Taulukko1[Loppupäivämäärä],"&gt;=1.5.2018",Taulukko1[Loppupäivämäärä],"&lt;=31.8.2018"))/SUM(Taulukko1[Asiakaskontakti (lkm)])</f>
        <v>#DIV/0!</v>
      </c>
      <c r="M5" s="73" t="s">
        <v>161</v>
      </c>
    </row>
    <row r="6" spans="1:13" x14ac:dyDescent="0.25">
      <c r="A6" s="55" t="s">
        <v>162</v>
      </c>
      <c r="B6" s="71">
        <f>SUMIFS(Taulukko1[Tapahtumien määrä], Taulukko1[Loppupäivämäärä],"&gt;=1.9.2018",Taulukko1[Loppupäivämäärä],"&lt;=31.12.2018")</f>
        <v>0</v>
      </c>
      <c r="C6" s="130" t="e">
        <f>(SUMIFS(Taulukko1[Tapahtumien määrä], Taulukko1[Loppupäivämäärä],"&gt;=1.9.2018",Taulukko1[Loppupäivämäärä],"&lt;=31.12.2018"))/SUM(Taulukko1[Tapahtumien määrä])</f>
        <v>#DIV/0!</v>
      </c>
      <c r="D6" s="71" t="e">
        <f>AVERAGEIFS(Taulukko1[Kesto (min) / tapaaminen],Taulukko1[Loppupäivämäärä],"&gt;=1.9.2018",Taulukko1[Loppupäivämäärä],"&lt;=31.12.2018")</f>
        <v>#DIV/0!</v>
      </c>
      <c r="E6" s="71">
        <f>SUMIFS(Taulukko1[Kokonaiskesto (min)], Taulukko1[Loppupäivämäärä],"&gt;=1.9.2018",Taulukko1[Loppupäivämäärä],"&lt;=31.12.2018")/60</f>
        <v>0</v>
      </c>
      <c r="F6" s="71">
        <f>SUMIFS(Taulukko1[Tapaamiskerrat /lapsi], Taulukko1[Loppupäivämäärä],"&gt;=1.9.2018",Taulukko1[Loppupäivämäärä],"&lt;=31.12.2018")</f>
        <v>0</v>
      </c>
      <c r="G6" s="71">
        <f>SUMIFS(Taulukko1[Kävijämäärä a) lapset], Taulukko1[Loppupäivämäärä],"&gt;=1.9.2018",Taulukko1[Loppupäivämäärä],"&lt;=31.12.2018")</f>
        <v>0</v>
      </c>
      <c r="H6" s="71">
        <f>SUMIFS(Taulukko1[Kävijämäärä b) aikuiset], Taulukko1[Loppupäivämäärä],"&gt;=1.9.2018",Taulukko1[Loppupäivämäärä],"&lt;=31.12.2018")</f>
        <v>0</v>
      </c>
      <c r="I6" s="71">
        <f>SUMIFS(Taulukko1[Kokonaiskävijämäärä], Taulukko1[Loppupäivämäärä],"&gt;=1.9.2018",Taulukko1[Loppupäivämäärä],"&lt;=31.12.2018")</f>
        <v>0</v>
      </c>
      <c r="J6" s="71" t="e">
        <f>AVERAGEIFS(Taulukko1[Kokonaiskävijämäärä],Taulukko1[Loppupäivämäärä],"&gt;=1.9.2018",Taulukko1[Loppupäivämäärä],"&lt;=31.12.2018")</f>
        <v>#DIV/0!</v>
      </c>
      <c r="K6" s="71">
        <f>SUMIFS(Taulukko1[Asiakaskontakti (lkm)],Taulukko1[Loppupäivämäärä],"&gt;=1.9.2018",Taulukko1[Loppupäivämäärä],"&lt;=31.12.2018")</f>
        <v>0</v>
      </c>
      <c r="L6" s="130" t="e">
        <f>(SUMIFS(Taulukko1[Asiakaskontakti (lkm)], Taulukko1[Loppupäivämäärä],"&gt;=1.9.2018",Taulukko1[Loppupäivämäärä],"&lt;=31.12.2018"))/SUM(Taulukko1[Asiakaskontakti (lkm)])</f>
        <v>#DIV/0!</v>
      </c>
      <c r="M6" s="73" t="s">
        <v>162</v>
      </c>
    </row>
    <row r="7" spans="1:13" x14ac:dyDescent="0.25">
      <c r="A7" s="52" t="s">
        <v>41</v>
      </c>
      <c r="B7" s="68" t="s">
        <v>39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x14ac:dyDescent="0.25">
      <c r="A8" s="53" t="s">
        <v>174</v>
      </c>
      <c r="B8" s="71">
        <f>SUMIF(Taulukko1[TOIMINTA],"a)*",Taulukko1[Tapahtumien määrä])</f>
        <v>0</v>
      </c>
      <c r="C8" s="48" t="e">
        <f>(SUMIF(Taulukko1[TOIMINTA],"a)*",Taulukko1[Tapahtumien määrä]))/SUM(Taulukko1[Tapahtumien määrä])</f>
        <v>#DIV/0!</v>
      </c>
      <c r="D8" s="71" t="e">
        <f>AVERAGEIF(Taulukko1[TOIMINTA],"a)*",Taulukko1[Kesto (min) / tapaaminen])</f>
        <v>#DIV/0!</v>
      </c>
      <c r="E8" s="72">
        <f>SUMIF(Taulukko1[TOIMINTA],"a)*",Taulukko1[Kokonaiskesto (min)])/60</f>
        <v>0</v>
      </c>
      <c r="F8" s="70">
        <f>SUMIF(Taulukko1[TOIMINTA],"a)*",Taulukko1[Tapaamiskerrat /lapsi])</f>
        <v>0</v>
      </c>
      <c r="G8" s="70">
        <f>SUMIF(Taulukko1[TOIMINTA],"a)*",Taulukko1[Kävijämäärä a) lapset])</f>
        <v>0</v>
      </c>
      <c r="H8" s="70">
        <f>SUMIF(Taulukko1[TOIMINTA],"a)*",Taulukko1[Kävijämäärä b) aikuiset])</f>
        <v>0</v>
      </c>
      <c r="I8" s="70">
        <f>SUMIF(Taulukko1[TOIMINTA],"a)*",Taulukko1[Kokonaiskävijämäärä])</f>
        <v>0</v>
      </c>
      <c r="J8" s="71" t="e">
        <f>AVERAGEIF(Taulukko1[TOIMINTA],"a)*",Taulukko1[Kokonaiskävijämäärä])</f>
        <v>#DIV/0!</v>
      </c>
      <c r="K8" s="70">
        <f>SUMIF(Taulukko1[TOIMINTA],"a)*",Taulukko1[Asiakaskontakti (lkm)])</f>
        <v>0</v>
      </c>
      <c r="L8" s="48" t="e">
        <f>SUMIF(Taulukko1[TOIMINTA],"a)*",Taulukko1[Asiakaskontakti (lkm)])/SUM(Taulukko1[Asiakaskontakti (lkm)])</f>
        <v>#DIV/0!</v>
      </c>
      <c r="M8" s="73" t="s">
        <v>183</v>
      </c>
    </row>
    <row r="9" spans="1:13" x14ac:dyDescent="0.25">
      <c r="A9" s="53" t="s">
        <v>175</v>
      </c>
      <c r="B9" s="71">
        <f>SUMIF(Taulukko1[TOIMINTA],"b)*",Taulukko1[Tapahtumien määrä])</f>
        <v>0</v>
      </c>
      <c r="C9" s="48" t="e">
        <f>(SUMIF(Taulukko1[TOIMINTA],"b)*",Taulukko1[Tapahtumien määrä]))/SUM(Taulukko1[Tapahtumien määrä])</f>
        <v>#DIV/0!</v>
      </c>
      <c r="D9" s="71" t="e">
        <f>AVERAGEIF(Taulukko1[TOIMINTA],"b)*",Taulukko1[Kesto (min) / tapaaminen])</f>
        <v>#DIV/0!</v>
      </c>
      <c r="E9" s="72">
        <f>SUMIF(Taulukko1[TOIMINTA],"b)*",Taulukko1[Kokonaiskesto (min)])/60</f>
        <v>0</v>
      </c>
      <c r="F9" s="70">
        <f>SUMIF(Taulukko1[TOIMINTA],"b)*",Taulukko1[Tapaamiskerrat /lapsi])</f>
        <v>0</v>
      </c>
      <c r="G9" s="70">
        <f>SUMIF(Taulukko1[TOIMINTA],"b)*",Taulukko1[Kävijämäärä a) lapset])</f>
        <v>0</v>
      </c>
      <c r="H9" s="70">
        <f>SUMIF(Taulukko1[TOIMINTA],"b)*",Taulukko1[Kävijämäärä b) aikuiset])</f>
        <v>0</v>
      </c>
      <c r="I9" s="70">
        <f>SUMIF(Taulukko1[TOIMINTA],"b)*",Taulukko1[Kokonaiskävijämäärä])</f>
        <v>0</v>
      </c>
      <c r="J9" s="71" t="e">
        <f>AVERAGEIF(Taulukko1[TOIMINTA],"b)*",Taulukko1[Kokonaiskävijämäärä])</f>
        <v>#DIV/0!</v>
      </c>
      <c r="K9" s="70">
        <f>SUMIF(Taulukko1[TOIMINTA],"b)*",Taulukko1[Asiakaskontakti (lkm)])</f>
        <v>0</v>
      </c>
      <c r="L9" s="48" t="e">
        <f>SUMIF(Taulukko1[TOIMINTA],"b)*",Taulukko1[Asiakaskontakti (lkm)])/SUM(Taulukko1[Asiakaskontakti (lkm)])</f>
        <v>#DIV/0!</v>
      </c>
      <c r="M9" s="73" t="s">
        <v>184</v>
      </c>
    </row>
    <row r="10" spans="1:13" x14ac:dyDescent="0.25">
      <c r="A10" s="55" t="s">
        <v>36</v>
      </c>
      <c r="B10" s="71">
        <f>SUMIF(Taulukko1[TOIMINTA],"c)*",Taulukko1[Tapahtumien määrä])</f>
        <v>0</v>
      </c>
      <c r="C10" s="48" t="e">
        <f>(SUMIF(Taulukko1[TOIMINTA],"c)*",Taulukko1[Tapahtumien määrä]))/SUM(Taulukko1[Tapahtumien määrä])</f>
        <v>#DIV/0!</v>
      </c>
      <c r="D10" s="71" t="e">
        <f>AVERAGEIF(Taulukko1[TOIMINTA],"c)*",Taulukko1[Kesto (min) / tapaaminen])</f>
        <v>#DIV/0!</v>
      </c>
      <c r="E10" s="72">
        <f>SUMIF(Taulukko1[TOIMINTA],"c)*",Taulukko1[Kokonaiskesto (min)])/60</f>
        <v>0</v>
      </c>
      <c r="F10" s="70">
        <f>SUMIF(Taulukko1[TOIMINTA],"c)*",Taulukko1[Tapaamiskerrat /lapsi])</f>
        <v>0</v>
      </c>
      <c r="G10" s="70">
        <f>SUMIF(Taulukko1[TOIMINTA],"c)*",Taulukko1[Kävijämäärä a) lapset])</f>
        <v>0</v>
      </c>
      <c r="H10" s="70">
        <f>SUMIF(Taulukko1[TOIMINTA],"c)*",Taulukko1[Kävijämäärä b) aikuiset])</f>
        <v>0</v>
      </c>
      <c r="I10" s="70">
        <f>SUMIF(Taulukko1[TOIMINTA],"c)*",Taulukko1[Kokonaiskävijämäärä])</f>
        <v>0</v>
      </c>
      <c r="J10" s="71" t="e">
        <f>AVERAGEIF(Taulukko1[TOIMINTA],"c)*",Taulukko1[Kokonaiskävijämäärä])</f>
        <v>#DIV/0!</v>
      </c>
      <c r="K10" s="70">
        <f>SUMIF(Taulukko1[TOIMINTA],"c)*",Taulukko1[Asiakaskontakti (lkm)])</f>
        <v>0</v>
      </c>
      <c r="L10" s="48" t="e">
        <f>SUMIF(Taulukko1[TOIMINTA],"c)*",Taulukko1[Asiakaskontakti (lkm)])/SUM(Taulukko1[Asiakaskontakti (lkm)])</f>
        <v>#DIV/0!</v>
      </c>
      <c r="M10" s="69" t="s">
        <v>36</v>
      </c>
    </row>
    <row r="11" spans="1:13" x14ac:dyDescent="0.25">
      <c r="A11" s="55" t="s">
        <v>144</v>
      </c>
      <c r="B11" s="71">
        <f>SUMIF(Taulukko1[TOIMINTA],"d)*",Taulukko1[Tapahtumien määrä])</f>
        <v>0</v>
      </c>
      <c r="C11" s="48" t="e">
        <f>(SUMIF(Taulukko1[TOIMINTA],"d)*",Taulukko1[Tapahtumien määrä]))/SUM(Taulukko1[Tapahtumien määrä])</f>
        <v>#DIV/0!</v>
      </c>
      <c r="D11" s="71" t="e">
        <f>AVERAGEIF(Taulukko1[TOIMINTA],"d)*",Taulukko1[Kesto (min) / tapaaminen])</f>
        <v>#DIV/0!</v>
      </c>
      <c r="E11" s="72">
        <f>SUMIF(Taulukko1[TOIMINTA],"d)*",Taulukko1[Kokonaiskesto (min)])/60</f>
        <v>0</v>
      </c>
      <c r="F11" s="70">
        <f>SUMIF(Taulukko1[TOIMINTA],"d)*",Taulukko1[Tapaamiskerrat /lapsi])</f>
        <v>0</v>
      </c>
      <c r="G11" s="70">
        <f>SUMIF(Taulukko1[TOIMINTA],"d)*",Taulukko1[Kävijämäärä a) lapset])</f>
        <v>0</v>
      </c>
      <c r="H11" s="70">
        <f>SUMIF(Taulukko1[TOIMINTA],"d)*",Taulukko1[Kävijämäärä b) aikuiset])</f>
        <v>0</v>
      </c>
      <c r="I11" s="70">
        <f>SUMIF(Taulukko1[TOIMINTA],"d)*",Taulukko1[Kokonaiskävijämäärä])</f>
        <v>0</v>
      </c>
      <c r="J11" s="71" t="e">
        <f>AVERAGEIF(Taulukko1[TOIMINTA],"d)*",Taulukko1[Kokonaiskävijämäärä])</f>
        <v>#DIV/0!</v>
      </c>
      <c r="K11" s="70">
        <f>SUMIF(Taulukko1[TOIMINTA],"d)*",Taulukko1[Asiakaskontakti (lkm)])</f>
        <v>0</v>
      </c>
      <c r="L11" s="48" t="e">
        <f>SUMIF(Taulukko1[TOIMINTA],"d)*",Taulukko1[Asiakaskontakti (lkm)])/SUM(Taulukko1[Asiakaskontakti (lkm)])</f>
        <v>#DIV/0!</v>
      </c>
      <c r="M11" s="69" t="s">
        <v>144</v>
      </c>
    </row>
    <row r="12" spans="1:13" x14ac:dyDescent="0.25">
      <c r="A12" s="55" t="s">
        <v>143</v>
      </c>
      <c r="B12" s="71">
        <f>SUMIF(Taulukko1[TOIMINTA],"e)*",Taulukko1[Tapahtumien määrä])</f>
        <v>0</v>
      </c>
      <c r="C12" s="48" t="e">
        <f>(SUMIF(Taulukko1[TOIMINTA],"e)*",Taulukko1[Tapahtumien määrä]))/SUM(Taulukko1[Tapahtumien määrä])</f>
        <v>#DIV/0!</v>
      </c>
      <c r="D12" s="71" t="e">
        <f>AVERAGEIF(Taulukko1[TOIMINTA],"e)*",Taulukko1[Kesto (min) / tapaaminen])</f>
        <v>#DIV/0!</v>
      </c>
      <c r="E12" s="72">
        <f>SUMIF(Taulukko1[TOIMINTA],"e)*",Taulukko1[Kokonaiskesto (min)])/60</f>
        <v>0</v>
      </c>
      <c r="F12" s="70">
        <f>SUMIF(Taulukko1[TOIMINTA],"e)*",Taulukko1[Tapaamiskerrat /lapsi])</f>
        <v>0</v>
      </c>
      <c r="G12" s="70">
        <f>SUMIF(Taulukko1[TOIMINTA],"e)*",Taulukko1[Kävijämäärä a) lapset])</f>
        <v>0</v>
      </c>
      <c r="H12" s="70">
        <f>SUMIF(Taulukko1[TOIMINTA],"e)*",Taulukko1[Kävijämäärä b) aikuiset])</f>
        <v>0</v>
      </c>
      <c r="I12" s="70">
        <f>SUMIF(Taulukko1[TOIMINTA],"e)*",Taulukko1[Kokonaiskävijämäärä])</f>
        <v>0</v>
      </c>
      <c r="J12" s="71" t="e">
        <f>AVERAGEIF(Taulukko1[TOIMINTA],"e)*",Taulukko1[Kokonaiskävijämäärä])</f>
        <v>#DIV/0!</v>
      </c>
      <c r="K12" s="70">
        <f>SUMIF(Taulukko1[TOIMINTA],"e)*",Taulukko1[Asiakaskontakti (lkm)])</f>
        <v>0</v>
      </c>
      <c r="L12" s="48" t="e">
        <f>SUMIF(Taulukko1[TOIMINTA],"e)*",Taulukko1[Asiakaskontakti (lkm)])/SUM(Taulukko1[Asiakaskontakti (lkm)])</f>
        <v>#DIV/0!</v>
      </c>
      <c r="M12" s="69" t="s">
        <v>149</v>
      </c>
    </row>
    <row r="13" spans="1:13" x14ac:dyDescent="0.25">
      <c r="A13" s="52" t="s">
        <v>41</v>
      </c>
      <c r="B13" s="88" t="s">
        <v>150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x14ac:dyDescent="0.25">
      <c r="A14" s="53" t="s">
        <v>32</v>
      </c>
      <c r="B14" s="71">
        <f>SUMIF(Taulukko1[ENSISIJAINEN SISÄLTÖ],"a)*",Taulukko1[Tapahtumien määrä])</f>
        <v>0</v>
      </c>
      <c r="C14" s="48" t="e">
        <f>(SUMIF(Taulukko1[ENSISIJAINEN SISÄLTÖ],"a)*",Taulukko1[Tapahtumien määrä]))/SUM(Taulukko1[Tapahtumien määrä])</f>
        <v>#DIV/0!</v>
      </c>
      <c r="D14" s="71" t="e">
        <f>AVERAGEIF(Taulukko1[ENSISIJAINEN SISÄLTÖ],"a)*",Taulukko1[Kesto (min) / tapaaminen])</f>
        <v>#DIV/0!</v>
      </c>
      <c r="E14" s="72">
        <f>SUMIF(Taulukko1[ENSISIJAINEN SISÄLTÖ],"a)*",Taulukko1[Kokonaiskesto (min)])/60</f>
        <v>0</v>
      </c>
      <c r="F14" s="70">
        <f>SUMIF(Taulukko1[ENSISIJAINEN SISÄLTÖ],"a)*",Taulukko1[Tapaamiskerrat /lapsi])</f>
        <v>0</v>
      </c>
      <c r="G14" s="70">
        <f>SUMIF(Taulukko1[ENSISIJAINEN SISÄLTÖ],"a)*",Taulukko1[Kävijämäärä a) lapset])</f>
        <v>0</v>
      </c>
      <c r="H14" s="70">
        <f>SUMIF(Taulukko1[ENSISIJAINEN SISÄLTÖ],"a)*",Taulukko1[Kävijämäärä b) aikuiset])</f>
        <v>0</v>
      </c>
      <c r="I14" s="70">
        <f>SUMIF(Taulukko1[ENSISIJAINEN SISÄLTÖ],"a)*",Taulukko1[Kokonaiskävijämäärä])</f>
        <v>0</v>
      </c>
      <c r="J14" s="71" t="e">
        <f>AVERAGEIF(Taulukko1[ENSISIJAINEN SISÄLTÖ],"a)*",Taulukko1[Kokonaiskävijämäärä])</f>
        <v>#DIV/0!</v>
      </c>
      <c r="K14" s="70">
        <f>SUMIF(Taulukko1[ENSISIJAINEN SISÄLTÖ],"a)*",Taulukko1[Asiakaskontakti (lkm)])</f>
        <v>0</v>
      </c>
      <c r="L14" s="48" t="e">
        <f>SUMIF(Taulukko1[ENSISIJAINEN SISÄLTÖ],"a)*",Taulukko1[Asiakaskontakti (lkm)])/SUM(Taulukko1[Asiakaskontakti (lkm)])</f>
        <v>#DIV/0!</v>
      </c>
      <c r="M14" s="73" t="s">
        <v>32</v>
      </c>
    </row>
    <row r="15" spans="1:13" x14ac:dyDescent="0.25">
      <c r="A15" s="53" t="s">
        <v>176</v>
      </c>
      <c r="B15" s="71">
        <f>SUMIF(Taulukko1[ENSISIJAINEN SISÄLTÖ],"b)*",Taulukko1[Tapahtumien määrä])</f>
        <v>0</v>
      </c>
      <c r="C15" s="48" t="e">
        <f>(SUMIF(Taulukko1[ENSISIJAINEN SISÄLTÖ],"b)*",Taulukko1[Tapahtumien määrä]))/SUM(Taulukko1[Tapahtumien määrä])</f>
        <v>#DIV/0!</v>
      </c>
      <c r="D15" s="71" t="e">
        <f>AVERAGEIF(Taulukko1[ENSISIJAINEN SISÄLTÖ],"b)*",Taulukko1[Kesto (min) / tapaaminen])</f>
        <v>#DIV/0!</v>
      </c>
      <c r="E15" s="72">
        <f>SUMIF(Taulukko1[ENSISIJAINEN SISÄLTÖ],"b)*",Taulukko1[Kokonaiskesto (min)])/60</f>
        <v>0</v>
      </c>
      <c r="F15" s="70">
        <f>SUMIF(Taulukko1[ENSISIJAINEN SISÄLTÖ],"b)*",Taulukko1[Tapaamiskerrat /lapsi])</f>
        <v>0</v>
      </c>
      <c r="G15" s="70">
        <f>SUMIF(Taulukko1[ENSISIJAINEN SISÄLTÖ],"b)*",Taulukko1[Kävijämäärä a) lapset])</f>
        <v>0</v>
      </c>
      <c r="H15" s="70">
        <f>SUMIF(Taulukko1[ENSISIJAINEN SISÄLTÖ],"b)*",Taulukko1[Kävijämäärä b) aikuiset])</f>
        <v>0</v>
      </c>
      <c r="I15" s="70">
        <f>SUMIF(Taulukko1[ENSISIJAINEN SISÄLTÖ],"b)*",Taulukko1[Kokonaiskävijämäärä])</f>
        <v>0</v>
      </c>
      <c r="J15" s="71" t="e">
        <f>AVERAGEIF(Taulukko1[ENSISIJAINEN SISÄLTÖ],"b)*",Taulukko1[Kokonaiskävijämäärä])</f>
        <v>#DIV/0!</v>
      </c>
      <c r="K15" s="70">
        <f>SUMIF(Taulukko1[ENSISIJAINEN SISÄLTÖ],"b)*",Taulukko1[Asiakaskontakti (lkm)])</f>
        <v>0</v>
      </c>
      <c r="L15" s="48" t="e">
        <f>SUMIF(Taulukko1[ENSISIJAINEN SISÄLTÖ],"b)*",Taulukko1[Asiakaskontakti (lkm)])/SUM(Taulukko1[Asiakaskontakti (lkm)])</f>
        <v>#DIV/0!</v>
      </c>
      <c r="M15" s="73" t="s">
        <v>33</v>
      </c>
    </row>
    <row r="16" spans="1:13" x14ac:dyDescent="0.25">
      <c r="A16" s="53" t="s">
        <v>177</v>
      </c>
      <c r="B16" s="71">
        <f>SUMIF(Taulukko1[ENSISIJAINEN SISÄLTÖ],"c)*",Taulukko1[Tapahtumien määrä])</f>
        <v>0</v>
      </c>
      <c r="C16" s="48" t="e">
        <f>(SUMIF(Taulukko1[ENSISIJAINEN SISÄLTÖ],"c)*",Taulukko1[Tapahtumien määrä]))/SUM(Taulukko1[Tapahtumien määrä])</f>
        <v>#DIV/0!</v>
      </c>
      <c r="D16" s="71" t="e">
        <f>AVERAGEIF(Taulukko1[ENSISIJAINEN SISÄLTÖ],"c)*",Taulukko1[Kesto (min) / tapaaminen])</f>
        <v>#DIV/0!</v>
      </c>
      <c r="E16" s="72">
        <f>SUMIF(Taulukko1[ENSISIJAINEN SISÄLTÖ],"c)*",Taulukko1[Kokonaiskesto (min)])/60</f>
        <v>0</v>
      </c>
      <c r="F16" s="70">
        <f>SUMIF(Taulukko1[ENSISIJAINEN SISÄLTÖ],"c)*",Taulukko1[Tapaamiskerrat /lapsi])</f>
        <v>0</v>
      </c>
      <c r="G16" s="70">
        <f>SUMIF(Taulukko1[ENSISIJAINEN SISÄLTÖ],"c)*",Taulukko1[Kävijämäärä a) lapset])</f>
        <v>0</v>
      </c>
      <c r="H16" s="70">
        <f>SUMIF(Taulukko1[ENSISIJAINEN SISÄLTÖ],"c)*",Taulukko1[Kävijämäärä b) aikuiset])</f>
        <v>0</v>
      </c>
      <c r="I16" s="70">
        <f>SUMIF(Taulukko1[ENSISIJAINEN SISÄLTÖ],"c)*",Taulukko1[Kokonaiskävijämäärä])</f>
        <v>0</v>
      </c>
      <c r="J16" s="71" t="e">
        <f>AVERAGEIF(Taulukko1[ENSISIJAINEN SISÄLTÖ],"c)*",Taulukko1[Kokonaiskävijämäärä])</f>
        <v>#DIV/0!</v>
      </c>
      <c r="K16" s="70">
        <f>SUMIF(Taulukko1[ENSISIJAINEN SISÄLTÖ],"c)*",Taulukko1[Asiakaskontakti (lkm)])</f>
        <v>0</v>
      </c>
      <c r="L16" s="48" t="e">
        <f>SUMIF(Taulukko1[ENSISIJAINEN SISÄLTÖ],"c)*",Taulukko1[Asiakaskontakti (lkm)])/SUM(Taulukko1[Asiakaskontakti (lkm)])</f>
        <v>#DIV/0!</v>
      </c>
      <c r="M16" s="73" t="s">
        <v>34</v>
      </c>
    </row>
    <row r="17" spans="1:13" x14ac:dyDescent="0.25">
      <c r="A17" s="53" t="s">
        <v>64</v>
      </c>
      <c r="B17" s="71">
        <f>SUMIF(Taulukko1[ENSISIJAINEN SISÄLTÖ],"d)*",Taulukko1[Tapahtumien määrä])</f>
        <v>0</v>
      </c>
      <c r="C17" s="48" t="e">
        <f>(SUMIF(Taulukko1[ENSISIJAINEN SISÄLTÖ],"d)*",Taulukko1[Tapahtumien määrä]))/SUM(Taulukko1[Tapahtumien määrä])</f>
        <v>#DIV/0!</v>
      </c>
      <c r="D17" s="71" t="e">
        <f>AVERAGEIF(Taulukko1[ENSISIJAINEN SISÄLTÖ],"d)*",Taulukko1[Kesto (min) / tapaaminen])</f>
        <v>#DIV/0!</v>
      </c>
      <c r="E17" s="72">
        <f>SUMIF(Taulukko1[ENSISIJAINEN SISÄLTÖ],"d)*",Taulukko1[Kokonaiskesto (min)])/60</f>
        <v>0</v>
      </c>
      <c r="F17" s="70">
        <f>SUMIF(Taulukko1[ENSISIJAINEN SISÄLTÖ],"d)*",Taulukko1[Tapaamiskerrat /lapsi])</f>
        <v>0</v>
      </c>
      <c r="G17" s="70">
        <f>SUMIF(Taulukko1[ENSISIJAINEN SISÄLTÖ],"d)*",Taulukko1[Kävijämäärä a) lapset])</f>
        <v>0</v>
      </c>
      <c r="H17" s="70">
        <f>SUMIF(Taulukko1[ENSISIJAINEN SISÄLTÖ],"d)*",Taulukko1[Kävijämäärä b) aikuiset])</f>
        <v>0</v>
      </c>
      <c r="I17" s="70">
        <f>SUMIF(Taulukko1[ENSISIJAINEN SISÄLTÖ],"d)*",Taulukko1[Kokonaiskävijämäärä])</f>
        <v>0</v>
      </c>
      <c r="J17" s="71" t="e">
        <f>AVERAGEIF(Taulukko1[ENSISIJAINEN SISÄLTÖ],"d)*",Taulukko1[Kokonaiskävijämäärä])</f>
        <v>#DIV/0!</v>
      </c>
      <c r="K17" s="70">
        <f>SUMIF(Taulukko1[ENSISIJAINEN SISÄLTÖ],"d)*",Taulukko1[Asiakaskontakti (lkm)])</f>
        <v>0</v>
      </c>
      <c r="L17" s="48" t="e">
        <f>SUMIF(Taulukko1[ENSISIJAINEN SISÄLTÖ],"d)*",Taulukko1[Asiakaskontakti (lkm)])/SUM(Taulukko1[Asiakaskontakti (lkm)])</f>
        <v>#DIV/0!</v>
      </c>
      <c r="M17" s="73" t="s">
        <v>64</v>
      </c>
    </row>
    <row r="18" spans="1:13" x14ac:dyDescent="0.25">
      <c r="A18" s="54" t="s">
        <v>92</v>
      </c>
      <c r="B18" s="71">
        <f>SUMIF(Taulukko1[ENSISIJAINEN SISÄLTÖ],"e)*",Taulukko1[Tapahtumien määrä])</f>
        <v>0</v>
      </c>
      <c r="C18" s="48" t="e">
        <f>(SUMIF(Taulukko1[ENSISIJAINEN SISÄLTÖ],"e)*",Taulukko1[Tapahtumien määrä]))/SUM(Taulukko1[Tapahtumien määrä])</f>
        <v>#DIV/0!</v>
      </c>
      <c r="D18" s="71" t="e">
        <f>AVERAGEIF(Taulukko1[ENSISIJAINEN SISÄLTÖ],"e)*",Taulukko1[Kesto (min) / tapaaminen])</f>
        <v>#DIV/0!</v>
      </c>
      <c r="E18" s="72">
        <f>SUMIF(Taulukko1[ENSISIJAINEN SISÄLTÖ],"e)*",Taulukko1[Kokonaiskesto (min)])/60</f>
        <v>0</v>
      </c>
      <c r="F18" s="70">
        <f>SUMIF(Taulukko1[ENSISIJAINEN SISÄLTÖ],"e)*",Taulukko1[Tapaamiskerrat /lapsi])</f>
        <v>0</v>
      </c>
      <c r="G18" s="70">
        <f>SUMIF(Taulukko1[ENSISIJAINEN SISÄLTÖ],"e)*",Taulukko1[Kävijämäärä a) lapset])</f>
        <v>0</v>
      </c>
      <c r="H18" s="70">
        <f>SUMIF(Taulukko1[ENSISIJAINEN SISÄLTÖ],"e)*",Taulukko1[Kävijämäärä b) aikuiset])</f>
        <v>0</v>
      </c>
      <c r="I18" s="70">
        <f>SUMIF(Taulukko1[ENSISIJAINEN SISÄLTÖ],"e)*",Taulukko1[Kokonaiskävijämäärä])</f>
        <v>0</v>
      </c>
      <c r="J18" s="71" t="e">
        <f>AVERAGEIF(Taulukko1[ENSISIJAINEN SISÄLTÖ],"e)*",Taulukko1[Kokonaiskävijämäärä])</f>
        <v>#DIV/0!</v>
      </c>
      <c r="K18" s="70">
        <f>SUMIF(Taulukko1[ENSISIJAINEN SISÄLTÖ],"e)*",Taulukko1[Asiakaskontakti (lkm)])</f>
        <v>0</v>
      </c>
      <c r="L18" s="48" t="e">
        <f>SUMIF(Taulukko1[ENSISIJAINEN SISÄLTÖ],"e)*",Taulukko1[Asiakaskontakti (lkm)])/SUM(Taulukko1[Asiakaskontakti (lkm)])</f>
        <v>#DIV/0!</v>
      </c>
      <c r="M18" s="73" t="s">
        <v>92</v>
      </c>
    </row>
    <row r="19" spans="1:13" x14ac:dyDescent="0.25">
      <c r="A19" s="53" t="s">
        <v>80</v>
      </c>
      <c r="B19" s="71">
        <f>SUMIF(Taulukko1[ENSISIJAINEN SISÄLTÖ],"f)*",Taulukko1[Tapahtumien määrä])</f>
        <v>0</v>
      </c>
      <c r="C19" s="48" t="e">
        <f>(SUMIF(Taulukko1[ENSISIJAINEN SISÄLTÖ],"f)*",Taulukko1[Tapahtumien määrä]))/SUM(Taulukko1[Tapahtumien määrä])</f>
        <v>#DIV/0!</v>
      </c>
      <c r="D19" s="71" t="e">
        <f>AVERAGEIF(Taulukko1[ENSISIJAINEN SISÄLTÖ],"f)*",Taulukko1[Kesto (min) / tapaaminen])</f>
        <v>#DIV/0!</v>
      </c>
      <c r="E19" s="72">
        <f>SUMIF(Taulukko1[ENSISIJAINEN SISÄLTÖ],"f)*",Taulukko1[Kokonaiskesto (min)])/60</f>
        <v>0</v>
      </c>
      <c r="F19" s="70">
        <f>SUMIF(Taulukko1[ENSISIJAINEN SISÄLTÖ],"f)*",Taulukko1[Tapaamiskerrat /lapsi])</f>
        <v>0</v>
      </c>
      <c r="G19" s="70">
        <f>SUMIF(Taulukko1[ENSISIJAINEN SISÄLTÖ],"f)*",Taulukko1[Kävijämäärä a) lapset])</f>
        <v>0</v>
      </c>
      <c r="H19" s="70">
        <f>SUMIF(Taulukko1[ENSISIJAINEN SISÄLTÖ],"f)*",Taulukko1[Kävijämäärä b) aikuiset])</f>
        <v>0</v>
      </c>
      <c r="I19" s="70">
        <f>SUMIF(Taulukko1[ENSISIJAINEN SISÄLTÖ],"f)*",Taulukko1[Kokonaiskävijämäärä])</f>
        <v>0</v>
      </c>
      <c r="J19" s="71" t="e">
        <f>AVERAGEIF(Taulukko1[ENSISIJAINEN SISÄLTÖ],"f)*",Taulukko1[Kokonaiskävijämäärä])</f>
        <v>#DIV/0!</v>
      </c>
      <c r="K19" s="70">
        <f>SUMIF(Taulukko1[ENSISIJAINEN SISÄLTÖ],"f)*",Taulukko1[Asiakaskontakti (lkm)])</f>
        <v>0</v>
      </c>
      <c r="L19" s="48" t="e">
        <f>SUMIF(Taulukko1[ENSISIJAINEN SISÄLTÖ],"f)*",Taulukko1[Asiakaskontakti (lkm)])/SUM(Taulukko1[Asiakaskontakti (lkm)])</f>
        <v>#DIV/0!</v>
      </c>
      <c r="M19" s="73" t="s">
        <v>80</v>
      </c>
    </row>
    <row r="20" spans="1:13" x14ac:dyDescent="0.25">
      <c r="A20" s="53" t="s">
        <v>81</v>
      </c>
      <c r="B20" s="71">
        <f>SUMIF(Taulukko1[ENSISIJAINEN SISÄLTÖ],"g)*",Taulukko1[Tapahtumien määrä])</f>
        <v>0</v>
      </c>
      <c r="C20" s="48" t="e">
        <f>(SUMIF(Taulukko1[ENSISIJAINEN SISÄLTÖ],"g)*",Taulukko1[Tapahtumien määrä]))/SUM(Taulukko1[Tapahtumien määrä])</f>
        <v>#DIV/0!</v>
      </c>
      <c r="D20" s="71" t="e">
        <f>AVERAGEIF(Taulukko1[ENSISIJAINEN SISÄLTÖ],"g)*",Taulukko1[Kesto (min) / tapaaminen])</f>
        <v>#DIV/0!</v>
      </c>
      <c r="E20" s="72">
        <f>SUMIF(Taulukko1[ENSISIJAINEN SISÄLTÖ],"g)*",Taulukko1[Kokonaiskesto (min)])/60</f>
        <v>0</v>
      </c>
      <c r="F20" s="70">
        <f>SUMIF(Taulukko1[ENSISIJAINEN SISÄLTÖ],"g)*",Taulukko1[Tapaamiskerrat /lapsi])</f>
        <v>0</v>
      </c>
      <c r="G20" s="70">
        <f>SUMIF(Taulukko1[ENSISIJAINEN SISÄLTÖ],"g)*",Taulukko1[Kävijämäärä a) lapset])</f>
        <v>0</v>
      </c>
      <c r="H20" s="70">
        <f>SUMIF(Taulukko1[ENSISIJAINEN SISÄLTÖ],"g)*",Taulukko1[Kävijämäärä b) aikuiset])</f>
        <v>0</v>
      </c>
      <c r="I20" s="70">
        <f>SUMIF(Taulukko1[ENSISIJAINEN SISÄLTÖ],"g)*",Taulukko1[Kokonaiskävijämäärä])</f>
        <v>0</v>
      </c>
      <c r="J20" s="71" t="e">
        <f>AVERAGEIF(Taulukko1[ENSISIJAINEN SISÄLTÖ],"g)*",Taulukko1[Kokonaiskävijämäärä])</f>
        <v>#DIV/0!</v>
      </c>
      <c r="K20" s="70">
        <f>SUMIF(Taulukko1[ENSISIJAINEN SISÄLTÖ],"g)*",Taulukko1[Asiakaskontakti (lkm)])</f>
        <v>0</v>
      </c>
      <c r="L20" s="48" t="e">
        <f>SUMIF(Taulukko1[ENSISIJAINEN SISÄLTÖ],"g)*",Taulukko1[Asiakaskontakti (lkm)])/SUM(Taulukko1[Asiakaskontakti (lkm)])</f>
        <v>#DIV/0!</v>
      </c>
      <c r="M20" s="73" t="s">
        <v>81</v>
      </c>
    </row>
    <row r="21" spans="1:13" x14ac:dyDescent="0.25">
      <c r="A21" s="53" t="s">
        <v>82</v>
      </c>
      <c r="B21" s="71">
        <f>SUMIF(Taulukko1[ENSISIJAINEN SISÄLTÖ],"h)*",Taulukko1[Tapahtumien määrä])</f>
        <v>0</v>
      </c>
      <c r="C21" s="48" t="e">
        <f>(SUMIF(Taulukko1[ENSISIJAINEN SISÄLTÖ],"h)*",Taulukko1[Tapahtumien määrä]))/SUM(Taulukko1[Tapahtumien määrä])</f>
        <v>#DIV/0!</v>
      </c>
      <c r="D21" s="71" t="e">
        <f>AVERAGEIF(Taulukko1[ENSISIJAINEN SISÄLTÖ],"h)*",Taulukko1[Kesto (min) / tapaaminen])</f>
        <v>#DIV/0!</v>
      </c>
      <c r="E21" s="72">
        <f>SUMIF(Taulukko1[ENSISIJAINEN SISÄLTÖ],"h)*",Taulukko1[Kokonaiskesto (min)])/60</f>
        <v>0</v>
      </c>
      <c r="F21" s="70">
        <f>SUMIF(Taulukko1[ENSISIJAINEN SISÄLTÖ],"h)*",Taulukko1[Tapaamiskerrat /lapsi])</f>
        <v>0</v>
      </c>
      <c r="G21" s="70">
        <f>SUMIF(Taulukko1[ENSISIJAINEN SISÄLTÖ],"h)*",Taulukko1[Kävijämäärä a) lapset])</f>
        <v>0</v>
      </c>
      <c r="H21" s="70">
        <f>SUMIF(Taulukko1[ENSISIJAINEN SISÄLTÖ],"h)*",Taulukko1[Kävijämäärä b) aikuiset])</f>
        <v>0</v>
      </c>
      <c r="I21" s="70">
        <f>SUMIF(Taulukko1[ENSISIJAINEN SISÄLTÖ],"h)*",Taulukko1[Kokonaiskävijämäärä])</f>
        <v>0</v>
      </c>
      <c r="J21" s="71" t="e">
        <f>AVERAGEIF(Taulukko1[ENSISIJAINEN SISÄLTÖ],"h)*",Taulukko1[Kokonaiskävijämäärä])</f>
        <v>#DIV/0!</v>
      </c>
      <c r="K21" s="70">
        <f>SUMIF(Taulukko1[ENSISIJAINEN SISÄLTÖ],"h)*",Taulukko1[Asiakaskontakti (lkm)])</f>
        <v>0</v>
      </c>
      <c r="L21" s="48" t="e">
        <f>SUMIF(Taulukko1[ENSISIJAINEN SISÄLTÖ],"h)*",Taulukko1[Asiakaskontakti (lkm)])/SUM(Taulukko1[Asiakaskontakti (lkm)])</f>
        <v>#DIV/0!</v>
      </c>
      <c r="M21" s="73" t="s">
        <v>82</v>
      </c>
    </row>
    <row r="22" spans="1:13" x14ac:dyDescent="0.25">
      <c r="A22" s="53" t="s">
        <v>147</v>
      </c>
      <c r="B22" s="71">
        <f>SUMIF(Taulukko1[ENSISIJAINEN SISÄLTÖ],"i)*",Taulukko1[Tapahtumien määrä])</f>
        <v>0</v>
      </c>
      <c r="C22" s="48" t="e">
        <f>(SUMIF(Taulukko1[ENSISIJAINEN SISÄLTÖ],"i)*",Taulukko1[Tapahtumien määrä]))/SUM(Taulukko1[Tapahtumien määrä])</f>
        <v>#DIV/0!</v>
      </c>
      <c r="D22" s="71" t="e">
        <f>AVERAGEIF(Taulukko1[ENSISIJAINEN SISÄLTÖ],"i)*",Taulukko1[Kesto (min) / tapaaminen])</f>
        <v>#DIV/0!</v>
      </c>
      <c r="E22" s="72">
        <f>SUMIF(Taulukko1[ENSISIJAINEN SISÄLTÖ],"i)*",Taulukko1[Kokonaiskesto (min)])/60</f>
        <v>0</v>
      </c>
      <c r="F22" s="70">
        <f>SUMIF(Taulukko1[ENSISIJAINEN SISÄLTÖ],"i)*",Taulukko1[Tapaamiskerrat /lapsi])</f>
        <v>0</v>
      </c>
      <c r="G22" s="70">
        <f>SUMIF(Taulukko1[ENSISIJAINEN SISÄLTÖ],"i)*",Taulukko1[Kävijämäärä a) lapset])</f>
        <v>0</v>
      </c>
      <c r="H22" s="70">
        <f>SUMIF(Taulukko1[ENSISIJAINEN SISÄLTÖ],"i)*",Taulukko1[Kävijämäärä b) aikuiset])</f>
        <v>0</v>
      </c>
      <c r="I22" s="70">
        <f>SUMIF(Taulukko1[ENSISIJAINEN SISÄLTÖ],"i)*",Taulukko1[Kokonaiskävijämäärä])</f>
        <v>0</v>
      </c>
      <c r="J22" s="71" t="e">
        <f>AVERAGEIF(Taulukko1[ENSISIJAINEN SISÄLTÖ],"i)*",Taulukko1[Kokonaiskävijämäärä])</f>
        <v>#DIV/0!</v>
      </c>
      <c r="K22" s="70">
        <f>SUMIF(Taulukko1[ENSISIJAINEN SISÄLTÖ],"i)*",Taulukko1[Asiakaskontakti (lkm)])</f>
        <v>0</v>
      </c>
      <c r="L22" s="48" t="e">
        <f>SUMIF(Taulukko1[ENSISIJAINEN SISÄLTÖ],"i)*",Taulukko1[Asiakaskontakti (lkm)])/SUM(Taulukko1[Asiakaskontakti (lkm)])</f>
        <v>#DIV/0!</v>
      </c>
      <c r="M22" s="73" t="s">
        <v>147</v>
      </c>
    </row>
    <row r="23" spans="1:13" x14ac:dyDescent="0.25">
      <c r="A23" s="55" t="s">
        <v>148</v>
      </c>
      <c r="B23" s="71">
        <f>SUMIF(Taulukko1[ENSISIJAINEN SISÄLTÖ],"j)*",Taulukko1[Tapahtumien määrä])</f>
        <v>0</v>
      </c>
      <c r="C23" s="48" t="e">
        <f>(SUMIF(Taulukko1[ENSISIJAINEN SISÄLTÖ],"j)*",Taulukko1[Tapahtumien määrä]))/SUM(Taulukko1[Tapahtumien määrä])</f>
        <v>#DIV/0!</v>
      </c>
      <c r="D23" s="71" t="e">
        <f>AVERAGEIF(Taulukko1[ENSISIJAINEN SISÄLTÖ],"j)*",Taulukko1[Kesto (min) / tapaaminen])</f>
        <v>#DIV/0!</v>
      </c>
      <c r="E23" s="72">
        <f>SUMIF(Taulukko1[ENSISIJAINEN SISÄLTÖ],"j)*",Taulukko1[Kokonaiskesto (min)])/60</f>
        <v>0</v>
      </c>
      <c r="F23" s="70">
        <f>SUMIF(Taulukko1[ENSISIJAINEN SISÄLTÖ],"j)*",Taulukko1[Tapaamiskerrat /lapsi])</f>
        <v>0</v>
      </c>
      <c r="G23" s="70">
        <f>SUMIF(Taulukko1[ENSISIJAINEN SISÄLTÖ],"j)*",Taulukko1[Kävijämäärä a) lapset])</f>
        <v>0</v>
      </c>
      <c r="H23" s="70">
        <f>SUMIF(Taulukko1[ENSISIJAINEN SISÄLTÖ],"j)*",Taulukko1[Kävijämäärä b) aikuiset])</f>
        <v>0</v>
      </c>
      <c r="I23" s="70">
        <f>SUMIF(Taulukko1[ENSISIJAINEN SISÄLTÖ],"j)*",Taulukko1[Kokonaiskävijämäärä])</f>
        <v>0</v>
      </c>
      <c r="J23" s="71" t="e">
        <f>AVERAGEIF(Taulukko1[ENSISIJAINEN SISÄLTÖ],"j)*",Taulukko1[Kokonaiskävijämäärä])</f>
        <v>#DIV/0!</v>
      </c>
      <c r="K23" s="70">
        <f>SUMIF(Taulukko1[ENSISIJAINEN SISÄLTÖ],"j)*",Taulukko1[Asiakaskontakti (lkm)])</f>
        <v>0</v>
      </c>
      <c r="L23" s="48" t="e">
        <f>SUMIF(Taulukko1[ENSISIJAINEN SISÄLTÖ],"j)*",Taulukko1[Asiakaskontakti (lkm)])/SUM(Taulukko1[Asiakaskontakti (lkm)])</f>
        <v>#DIV/0!</v>
      </c>
      <c r="M23" s="69" t="s">
        <v>148</v>
      </c>
    </row>
    <row r="24" spans="1:13" x14ac:dyDescent="0.25">
      <c r="A24" s="55" t="s">
        <v>193</v>
      </c>
      <c r="B24" s="71">
        <f>SUMIF(Taulukko1[ENSISIJAINEN SISÄLTÖ],"k)*",Taulukko1[Tapahtumien määrä])</f>
        <v>0</v>
      </c>
      <c r="C24" s="48" t="e">
        <f>(SUMIF(Taulukko1[ENSISIJAINEN SISÄLTÖ],"k)*",Taulukko1[Tapahtumien määrä]))/SUM(Taulukko1[Tapahtumien määrä])</f>
        <v>#DIV/0!</v>
      </c>
      <c r="D24" s="71" t="e">
        <f>AVERAGEIF(Taulukko1[ENSISIJAINEN SISÄLTÖ],"k)*",Taulukko1[Kesto (min) / tapaaminen])</f>
        <v>#DIV/0!</v>
      </c>
      <c r="E24" s="72">
        <f>SUMIF(Taulukko1[ENSISIJAINEN SISÄLTÖ],"k)*",Taulukko1[Kokonaiskesto (min)])/60</f>
        <v>0</v>
      </c>
      <c r="F24" s="70">
        <f>SUMIF(Taulukko1[ENSISIJAINEN SISÄLTÖ],"k)*",Taulukko1[Tapaamiskerrat /lapsi])</f>
        <v>0</v>
      </c>
      <c r="G24" s="70">
        <f>SUMIF(Taulukko1[ENSISIJAINEN SISÄLTÖ],"k)*",Taulukko1[Kävijämäärä a) lapset])</f>
        <v>0</v>
      </c>
      <c r="H24" s="70">
        <f>SUMIF(Taulukko1[ENSISIJAINEN SISÄLTÖ],"k)*",Taulukko1[Kävijämäärä b) aikuiset])</f>
        <v>0</v>
      </c>
      <c r="I24" s="70">
        <f>SUMIF(Taulukko1[ENSISIJAINEN SISÄLTÖ],"k)*",Taulukko1[Kokonaiskävijämäärä])</f>
        <v>0</v>
      </c>
      <c r="J24" s="71" t="e">
        <f>AVERAGEIF(Taulukko1[ENSISIJAINEN SISÄLTÖ],"k)*",Taulukko1[Kokonaiskävijämäärä])</f>
        <v>#DIV/0!</v>
      </c>
      <c r="K24" s="70">
        <f>SUMIF(Taulukko1[ENSISIJAINEN SISÄLTÖ],"k)*",Taulukko1[Asiakaskontakti (lkm)])</f>
        <v>0</v>
      </c>
      <c r="L24" s="48" t="e">
        <f>SUMIF(Taulukko1[ENSISIJAINEN SISÄLTÖ],"k)*",Taulukko1[Asiakaskontakti (lkm)])/SUM(Taulukko1[Asiakaskontakti (lkm)])</f>
        <v>#DIV/0!</v>
      </c>
      <c r="M24" s="69" t="s">
        <v>193</v>
      </c>
    </row>
    <row r="25" spans="1:13" x14ac:dyDescent="0.25">
      <c r="A25" s="118" t="s">
        <v>41</v>
      </c>
      <c r="B25" s="88" t="s">
        <v>151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8"/>
    </row>
    <row r="26" spans="1:13" x14ac:dyDescent="0.25">
      <c r="A26" s="53" t="s">
        <v>32</v>
      </c>
      <c r="B26" s="71">
        <f>SUMIF(Taulukko1[TOISSIJAINEN SISÄLTÖ],"a)*",Taulukko1[Tapahtumien määrä])</f>
        <v>0</v>
      </c>
      <c r="C26" s="71" t="e">
        <f>(SUMIF(Taulukko1[TOISSIJAINEN SISÄLTÖ],"a)*",Taulukko1[Tapahtumien määrä]))/SUM(Taulukko1[Tapahtumien määrä])</f>
        <v>#DIV/0!</v>
      </c>
      <c r="D26" s="71" t="e">
        <f>AVERAGEIF(Taulukko1[TOISSIJAINEN SISÄLTÖ],"a)*",Taulukko1[Kesto (min) / tapaaminen])</f>
        <v>#DIV/0!</v>
      </c>
      <c r="E26" s="71">
        <f>SUMIF(Taulukko1[TOISSIJAINEN SISÄLTÖ],"a)*",Taulukko1[Kokonaiskesto (min)])/60</f>
        <v>0</v>
      </c>
      <c r="F26" s="71">
        <f>SUMIF(Taulukko1[TOISSIJAINEN SISÄLTÖ],"a)*",Taulukko1[Tapaamiskerrat /lapsi])</f>
        <v>0</v>
      </c>
      <c r="G26" s="71">
        <f>SUMIF(Taulukko1[TOISSIJAINEN SISÄLTÖ],"a)*",Taulukko1[Kävijämäärä a) lapset])</f>
        <v>0</v>
      </c>
      <c r="H26" s="71">
        <f>SUMIF(Taulukko1[TOISSIJAINEN SISÄLTÖ],"a)*",Taulukko1[Kävijämäärä b) aikuiset])</f>
        <v>0</v>
      </c>
      <c r="I26" s="71">
        <f>SUMIF(Taulukko1[TOISSIJAINEN SISÄLTÖ],"a)*",Taulukko1[Kokonaiskävijämäärä])</f>
        <v>0</v>
      </c>
      <c r="J26" s="71" t="e">
        <f>AVERAGEIF(Taulukko1[TOISSIJAINEN SISÄLTÖ],"a)*",Taulukko1[Kokonaiskävijämäärä])</f>
        <v>#DIV/0!</v>
      </c>
      <c r="K26" s="71">
        <f>SUMIF(Taulukko1[TOISSIJAINEN SISÄLTÖ],"a)*",Taulukko1[Asiakaskontakti (lkm)])</f>
        <v>0</v>
      </c>
      <c r="L26" s="71" t="e">
        <f>SUMIF(Taulukko1[TOISSIJAINEN SISÄLTÖ],"a)*",Taulukko1[Asiakaskontakti (lkm)])/SUM(Taulukko1[Asiakaskontakti (lkm)])</f>
        <v>#DIV/0!</v>
      </c>
      <c r="M26" s="69" t="s">
        <v>32</v>
      </c>
    </row>
    <row r="27" spans="1:13" x14ac:dyDescent="0.25">
      <c r="A27" s="53" t="s">
        <v>33</v>
      </c>
      <c r="B27" s="71">
        <f>SUMIF(Taulukko1[TOISSIJAINEN SISÄLTÖ],"b)*",Taulukko1[Tapahtumien määrä])</f>
        <v>0</v>
      </c>
      <c r="C27" s="71" t="e">
        <f>(SUMIF(Taulukko1[TOISSIJAINEN SISÄLTÖ],"b)*",Taulukko1[Tapahtumien määrä]))/SUM(Taulukko1[Tapahtumien määrä])</f>
        <v>#DIV/0!</v>
      </c>
      <c r="D27" s="71" t="e">
        <f>AVERAGEIF(Taulukko1[TOISSIJAINEN SISÄLTÖ],"b)*",Taulukko1[Kesto (min) / tapaaminen])</f>
        <v>#DIV/0!</v>
      </c>
      <c r="E27" s="71">
        <f>SUMIF(Taulukko1[TOISSIJAINEN SISÄLTÖ],"b)*",Taulukko1[Kokonaiskesto (min)])/60</f>
        <v>0</v>
      </c>
      <c r="F27" s="71">
        <f>SUMIF(Taulukko1[TOISSIJAINEN SISÄLTÖ],"b)*",Taulukko1[Tapaamiskerrat /lapsi])</f>
        <v>0</v>
      </c>
      <c r="G27" s="71">
        <f>SUMIF(Taulukko1[TOISSIJAINEN SISÄLTÖ],"b)*",Taulukko1[Kävijämäärä a) lapset])</f>
        <v>0</v>
      </c>
      <c r="H27" s="71">
        <f>SUMIF(Taulukko1[TOISSIJAINEN SISÄLTÖ],"b)*",Taulukko1[Kävijämäärä b) aikuiset])</f>
        <v>0</v>
      </c>
      <c r="I27" s="71">
        <f>SUMIF(Taulukko1[TOISSIJAINEN SISÄLTÖ],"b)*",Taulukko1[Kokonaiskävijämäärä])</f>
        <v>0</v>
      </c>
      <c r="J27" s="71" t="e">
        <f>AVERAGEIF(Taulukko1[TOISSIJAINEN SISÄLTÖ],"b)*",Taulukko1[Kokonaiskävijämäärä])</f>
        <v>#DIV/0!</v>
      </c>
      <c r="K27" s="71">
        <f>SUMIF(Taulukko1[TOISSIJAINEN SISÄLTÖ],"b)*",Taulukko1[Asiakaskontakti (lkm)])</f>
        <v>0</v>
      </c>
      <c r="L27" s="71" t="e">
        <f>SUMIF(Taulukko1[TOISSIJAINEN SISÄLTÖ],"b)*",Taulukko1[Asiakaskontakti (lkm)])/SUM(Taulukko1[Asiakaskontakti (lkm)])</f>
        <v>#DIV/0!</v>
      </c>
      <c r="M27" s="69" t="s">
        <v>33</v>
      </c>
    </row>
    <row r="28" spans="1:13" x14ac:dyDescent="0.25">
      <c r="A28" s="53" t="s">
        <v>34</v>
      </c>
      <c r="B28" s="71">
        <f>SUMIF(Taulukko1[TOISSIJAINEN SISÄLTÖ],"c)*",Taulukko1[Tapahtumien määrä])</f>
        <v>0</v>
      </c>
      <c r="C28" s="71" t="e">
        <f>(SUMIF(Taulukko1[TOISSIJAINEN SISÄLTÖ],"c)*",Taulukko1[Tapahtumien määrä]))/SUM(Taulukko1[Tapahtumien määrä])</f>
        <v>#DIV/0!</v>
      </c>
      <c r="D28" s="71" t="e">
        <f>AVERAGEIF(Taulukko1[TOISSIJAINEN SISÄLTÖ],"c)*",Taulukko1[Kesto (min) / tapaaminen])</f>
        <v>#DIV/0!</v>
      </c>
      <c r="E28" s="71">
        <f>SUMIF(Taulukko1[TOISSIJAINEN SISÄLTÖ],"c)*",Taulukko1[Kokonaiskesto (min)])/60</f>
        <v>0</v>
      </c>
      <c r="F28" s="71">
        <f>SUMIF(Taulukko1[TOISSIJAINEN SISÄLTÖ],"c)*",Taulukko1[Tapaamiskerrat /lapsi])</f>
        <v>0</v>
      </c>
      <c r="G28" s="71">
        <f>SUMIF(Taulukko1[TOISSIJAINEN SISÄLTÖ],"c)*",Taulukko1[Kävijämäärä a) lapset])</f>
        <v>0</v>
      </c>
      <c r="H28" s="71">
        <f>SUMIF(Taulukko1[TOISSIJAINEN SISÄLTÖ],"c)*",Taulukko1[Kävijämäärä b) aikuiset])</f>
        <v>0</v>
      </c>
      <c r="I28" s="71">
        <f>SUMIF(Taulukko1[TOISSIJAINEN SISÄLTÖ],"c)*",Taulukko1[Kokonaiskävijämäärä])</f>
        <v>0</v>
      </c>
      <c r="J28" s="71" t="e">
        <f>AVERAGEIF(Taulukko1[TOISSIJAINEN SISÄLTÖ],"c)*",Taulukko1[Kokonaiskävijämäärä])</f>
        <v>#DIV/0!</v>
      </c>
      <c r="K28" s="71">
        <f>SUMIF(Taulukko1[TOISSIJAINEN SISÄLTÖ],"c)*",Taulukko1[Asiakaskontakti (lkm)])</f>
        <v>0</v>
      </c>
      <c r="L28" s="71" t="e">
        <f>SUMIF(Taulukko1[TOISSIJAINEN SISÄLTÖ],"c)*",Taulukko1[Asiakaskontakti (lkm)])/SUM(Taulukko1[Asiakaskontakti (lkm)])</f>
        <v>#DIV/0!</v>
      </c>
      <c r="M28" s="69" t="s">
        <v>34</v>
      </c>
    </row>
    <row r="29" spans="1:13" x14ac:dyDescent="0.25">
      <c r="A29" s="53" t="s">
        <v>64</v>
      </c>
      <c r="B29" s="71">
        <f>SUMIF(Taulukko1[TOISSIJAINEN SISÄLTÖ],"d)*",Taulukko1[Tapahtumien määrä])</f>
        <v>0</v>
      </c>
      <c r="C29" s="71" t="e">
        <f>(SUMIF(Taulukko1[TOISSIJAINEN SISÄLTÖ],"d)*",Taulukko1[Tapahtumien määrä]))/SUM(Taulukko1[Tapahtumien määrä])</f>
        <v>#DIV/0!</v>
      </c>
      <c r="D29" s="71" t="e">
        <f>AVERAGEIF(Taulukko1[TOISSIJAINEN SISÄLTÖ],"d)*",Taulukko1[Kesto (min) / tapaaminen])</f>
        <v>#DIV/0!</v>
      </c>
      <c r="E29" s="71">
        <f>SUMIF(Taulukko1[TOISSIJAINEN SISÄLTÖ],"d)*",Taulukko1[Kokonaiskesto (min)])/60</f>
        <v>0</v>
      </c>
      <c r="F29" s="71">
        <f>SUMIF(Taulukko1[TOISSIJAINEN SISÄLTÖ],"d)*",Taulukko1[Tapaamiskerrat /lapsi])</f>
        <v>0</v>
      </c>
      <c r="G29" s="71">
        <f>SUMIF(Taulukko1[TOISSIJAINEN SISÄLTÖ],"d)*",Taulukko1[Kävijämäärä a) lapset])</f>
        <v>0</v>
      </c>
      <c r="H29" s="71">
        <f>SUMIF(Taulukko1[TOISSIJAINEN SISÄLTÖ],"d)*",Taulukko1[Kävijämäärä b) aikuiset])</f>
        <v>0</v>
      </c>
      <c r="I29" s="71">
        <f>SUMIF(Taulukko1[TOISSIJAINEN SISÄLTÖ],"d)*",Taulukko1[Kokonaiskävijämäärä])</f>
        <v>0</v>
      </c>
      <c r="J29" s="71" t="e">
        <f>AVERAGEIF(Taulukko1[TOISSIJAINEN SISÄLTÖ],"d)*",Taulukko1[Kokonaiskävijämäärä])</f>
        <v>#DIV/0!</v>
      </c>
      <c r="K29" s="71">
        <f>SUMIF(Taulukko1[TOISSIJAINEN SISÄLTÖ],"d)*",Taulukko1[Asiakaskontakti (lkm)])</f>
        <v>0</v>
      </c>
      <c r="L29" s="71" t="e">
        <f>SUMIF(Taulukko1[TOISSIJAINEN SISÄLTÖ],"d)*",Taulukko1[Asiakaskontakti (lkm)])/SUM(Taulukko1[Asiakaskontakti (lkm)])</f>
        <v>#DIV/0!</v>
      </c>
      <c r="M29" s="69" t="s">
        <v>64</v>
      </c>
    </row>
    <row r="30" spans="1:13" x14ac:dyDescent="0.25">
      <c r="A30" s="53" t="s">
        <v>92</v>
      </c>
      <c r="B30" s="71">
        <f>SUMIF(Taulukko1[TOISSIJAINEN SISÄLTÖ],"e)*",Taulukko1[Tapahtumien määrä])</f>
        <v>0</v>
      </c>
      <c r="C30" s="71" t="e">
        <f>(SUMIF(Taulukko1[TOISSIJAINEN SISÄLTÖ],"e)*",Taulukko1[Tapahtumien määrä]))/SUM(Taulukko1[Tapahtumien määrä])</f>
        <v>#DIV/0!</v>
      </c>
      <c r="D30" s="71" t="e">
        <f>AVERAGEIF(Taulukko1[TOISSIJAINEN SISÄLTÖ],"e)*",Taulukko1[Kesto (min) / tapaaminen])</f>
        <v>#DIV/0!</v>
      </c>
      <c r="E30" s="71">
        <f>SUMIF(Taulukko1[TOISSIJAINEN SISÄLTÖ],"e)*",Taulukko1[Kokonaiskesto (min)])/60</f>
        <v>0</v>
      </c>
      <c r="F30" s="71">
        <f>SUMIF(Taulukko1[TOISSIJAINEN SISÄLTÖ],"e)*",Taulukko1[Tapaamiskerrat /lapsi])</f>
        <v>0</v>
      </c>
      <c r="G30" s="71">
        <f>SUMIF(Taulukko1[TOISSIJAINEN SISÄLTÖ],"e)*",Taulukko1[Kävijämäärä a) lapset])</f>
        <v>0</v>
      </c>
      <c r="H30" s="71">
        <f>SUMIF(Taulukko1[TOISSIJAINEN SISÄLTÖ],"e)*",Taulukko1[Kävijämäärä b) aikuiset])</f>
        <v>0</v>
      </c>
      <c r="I30" s="71">
        <f>SUMIF(Taulukko1[TOISSIJAINEN SISÄLTÖ],"e)*",Taulukko1[Kokonaiskävijämäärä])</f>
        <v>0</v>
      </c>
      <c r="J30" s="71" t="e">
        <f>AVERAGEIF(Taulukko1[TOISSIJAINEN SISÄLTÖ],"e)*",Taulukko1[Kokonaiskävijämäärä])</f>
        <v>#DIV/0!</v>
      </c>
      <c r="K30" s="71">
        <f>SUMIF(Taulukko1[TOISSIJAINEN SISÄLTÖ],"e)*",Taulukko1[Asiakaskontakti (lkm)])</f>
        <v>0</v>
      </c>
      <c r="L30" s="71" t="e">
        <f>SUMIF(Taulukko1[TOISSIJAINEN SISÄLTÖ],"e)*",Taulukko1[Asiakaskontakti (lkm)])/SUM(Taulukko1[Asiakaskontakti (lkm)])</f>
        <v>#DIV/0!</v>
      </c>
      <c r="M30" s="69" t="s">
        <v>92</v>
      </c>
    </row>
    <row r="31" spans="1:13" x14ac:dyDescent="0.25">
      <c r="A31" s="53" t="s">
        <v>80</v>
      </c>
      <c r="B31" s="71">
        <f>SUMIF(Taulukko1[TOISSIJAINEN SISÄLTÖ],"f)*",Taulukko1[Tapahtumien määrä])</f>
        <v>0</v>
      </c>
      <c r="C31" s="71" t="e">
        <f>(SUMIF(Taulukko1[TOISSIJAINEN SISÄLTÖ],"f)*",Taulukko1[Tapahtumien määrä]))/SUM(Taulukko1[Tapahtumien määrä])</f>
        <v>#DIV/0!</v>
      </c>
      <c r="D31" s="71" t="e">
        <f>AVERAGEIF(Taulukko1[TOISSIJAINEN SISÄLTÖ],"f)*",Taulukko1[Kesto (min) / tapaaminen])</f>
        <v>#DIV/0!</v>
      </c>
      <c r="E31" s="71">
        <f>SUMIF(Taulukko1[TOISSIJAINEN SISÄLTÖ],"f)*",Taulukko1[Kokonaiskesto (min)])/60</f>
        <v>0</v>
      </c>
      <c r="F31" s="71">
        <f>SUMIF(Taulukko1[TOISSIJAINEN SISÄLTÖ],"f)*",Taulukko1[Tapaamiskerrat /lapsi])</f>
        <v>0</v>
      </c>
      <c r="G31" s="71">
        <f>SUMIF(Taulukko1[TOISSIJAINEN SISÄLTÖ],"f)*",Taulukko1[Kävijämäärä a) lapset])</f>
        <v>0</v>
      </c>
      <c r="H31" s="71">
        <f>SUMIF(Taulukko1[TOISSIJAINEN SISÄLTÖ],"f)*",Taulukko1[Kävijämäärä b) aikuiset])</f>
        <v>0</v>
      </c>
      <c r="I31" s="71">
        <f>SUMIF(Taulukko1[TOISSIJAINEN SISÄLTÖ],"f)*",Taulukko1[Kokonaiskävijämäärä])</f>
        <v>0</v>
      </c>
      <c r="J31" s="71" t="e">
        <f>AVERAGEIF(Taulukko1[TOISSIJAINEN SISÄLTÖ],"f)*",Taulukko1[Kokonaiskävijämäärä])</f>
        <v>#DIV/0!</v>
      </c>
      <c r="K31" s="71">
        <f>SUMIF(Taulukko1[TOISSIJAINEN SISÄLTÖ],"f)*",Taulukko1[Asiakaskontakti (lkm)])</f>
        <v>0</v>
      </c>
      <c r="L31" s="71" t="e">
        <f>SUMIF(Taulukko1[TOISSIJAINEN SISÄLTÖ],"f)*",Taulukko1[Asiakaskontakti (lkm)])/SUM(Taulukko1[Asiakaskontakti (lkm)])</f>
        <v>#DIV/0!</v>
      </c>
      <c r="M31" s="69" t="s">
        <v>80</v>
      </c>
    </row>
    <row r="32" spans="1:13" x14ac:dyDescent="0.25">
      <c r="A32" s="53" t="s">
        <v>81</v>
      </c>
      <c r="B32" s="71">
        <f>SUMIF(Taulukko1[TOISSIJAINEN SISÄLTÖ],"g)*",Taulukko1[Tapahtumien määrä])</f>
        <v>0</v>
      </c>
      <c r="C32" s="71" t="e">
        <f>(SUMIF(Taulukko1[TOISSIJAINEN SISÄLTÖ],"g)*",Taulukko1[Tapahtumien määrä]))/SUM(Taulukko1[Tapahtumien määrä])</f>
        <v>#DIV/0!</v>
      </c>
      <c r="D32" s="71" t="e">
        <f>AVERAGEIF(Taulukko1[TOISSIJAINEN SISÄLTÖ],"g)*",Taulukko1[Kesto (min) / tapaaminen])</f>
        <v>#DIV/0!</v>
      </c>
      <c r="E32" s="71">
        <f>SUMIF(Taulukko1[TOISSIJAINEN SISÄLTÖ],"g)*",Taulukko1[Kokonaiskesto (min)])/60</f>
        <v>0</v>
      </c>
      <c r="F32" s="71">
        <f>SUMIF(Taulukko1[TOISSIJAINEN SISÄLTÖ],"g)*",Taulukko1[Tapaamiskerrat /lapsi])</f>
        <v>0</v>
      </c>
      <c r="G32" s="71">
        <f>SUMIF(Taulukko1[TOISSIJAINEN SISÄLTÖ],"g)*",Taulukko1[Kävijämäärä a) lapset])</f>
        <v>0</v>
      </c>
      <c r="H32" s="71">
        <f>SUMIF(Taulukko1[TOISSIJAINEN SISÄLTÖ],"g)*",Taulukko1[Kävijämäärä b) aikuiset])</f>
        <v>0</v>
      </c>
      <c r="I32" s="71">
        <f>SUMIF(Taulukko1[TOISSIJAINEN SISÄLTÖ],"g)*",Taulukko1[Kokonaiskävijämäärä])</f>
        <v>0</v>
      </c>
      <c r="J32" s="71" t="e">
        <f>AVERAGEIF(Taulukko1[TOISSIJAINEN SISÄLTÖ],"g)*",Taulukko1[Kokonaiskävijämäärä])</f>
        <v>#DIV/0!</v>
      </c>
      <c r="K32" s="71">
        <f>SUMIF(Taulukko1[TOISSIJAINEN SISÄLTÖ],"g)*",Taulukko1[Asiakaskontakti (lkm)])</f>
        <v>0</v>
      </c>
      <c r="L32" s="71" t="e">
        <f>SUMIF(Taulukko1[TOISSIJAINEN SISÄLTÖ],"g)*",Taulukko1[Asiakaskontakti (lkm)])/SUM(Taulukko1[Asiakaskontakti (lkm)])</f>
        <v>#DIV/0!</v>
      </c>
      <c r="M32" s="69" t="s">
        <v>81</v>
      </c>
    </row>
    <row r="33" spans="1:13" x14ac:dyDescent="0.25">
      <c r="A33" s="53" t="s">
        <v>82</v>
      </c>
      <c r="B33" s="71">
        <f>SUMIF(Taulukko1[TOISSIJAINEN SISÄLTÖ],"h)*",Taulukko1[Tapahtumien määrä])</f>
        <v>0</v>
      </c>
      <c r="C33" s="71" t="e">
        <f>(SUMIF(Taulukko1[TOISSIJAINEN SISÄLTÖ],"h)*",Taulukko1[Tapahtumien määrä]))/SUM(Taulukko1[Tapahtumien määrä])</f>
        <v>#DIV/0!</v>
      </c>
      <c r="D33" s="71" t="e">
        <f>AVERAGEIF(Taulukko1[TOISSIJAINEN SISÄLTÖ],"h)*",Taulukko1[Kesto (min) / tapaaminen])</f>
        <v>#DIV/0!</v>
      </c>
      <c r="E33" s="71">
        <f>SUMIF(Taulukko1[TOISSIJAINEN SISÄLTÖ],"h)*",Taulukko1[Kokonaiskesto (min)])/60</f>
        <v>0</v>
      </c>
      <c r="F33" s="71">
        <f>SUMIF(Taulukko1[TOISSIJAINEN SISÄLTÖ],"h)*",Taulukko1[Tapaamiskerrat /lapsi])</f>
        <v>0</v>
      </c>
      <c r="G33" s="71">
        <f>SUMIF(Taulukko1[TOISSIJAINEN SISÄLTÖ],"h)*",Taulukko1[Kävijämäärä a) lapset])</f>
        <v>0</v>
      </c>
      <c r="H33" s="71">
        <f>SUMIF(Taulukko1[TOISSIJAINEN SISÄLTÖ],"h)*",Taulukko1[Kävijämäärä b) aikuiset])</f>
        <v>0</v>
      </c>
      <c r="I33" s="71">
        <f>SUMIF(Taulukko1[TOISSIJAINEN SISÄLTÖ],"h)*",Taulukko1[Kokonaiskävijämäärä])</f>
        <v>0</v>
      </c>
      <c r="J33" s="71" t="e">
        <f>AVERAGEIF(Taulukko1[TOISSIJAINEN SISÄLTÖ],"h)*",Taulukko1[Kokonaiskävijämäärä])</f>
        <v>#DIV/0!</v>
      </c>
      <c r="K33" s="71">
        <f>SUMIF(Taulukko1[TOISSIJAINEN SISÄLTÖ],"h)*",Taulukko1[Asiakaskontakti (lkm)])</f>
        <v>0</v>
      </c>
      <c r="L33" s="71" t="e">
        <f>SUMIF(Taulukko1[TOISSIJAINEN SISÄLTÖ],"h)*",Taulukko1[Asiakaskontakti (lkm)])/SUM(Taulukko1[Asiakaskontakti (lkm)])</f>
        <v>#DIV/0!</v>
      </c>
      <c r="M33" s="69" t="s">
        <v>82</v>
      </c>
    </row>
    <row r="34" spans="1:13" x14ac:dyDescent="0.25">
      <c r="A34" s="53" t="s">
        <v>147</v>
      </c>
      <c r="B34" s="71">
        <f>SUMIF(Taulukko1[TOISSIJAINEN SISÄLTÖ],"i)*",Taulukko1[Tapahtumien määrä])</f>
        <v>0</v>
      </c>
      <c r="C34" s="71" t="e">
        <f>(SUMIF(Taulukko1[TOISSIJAINEN SISÄLTÖ],"i)*",Taulukko1[Tapahtumien määrä]))/SUM(Taulukko1[Tapahtumien määrä])</f>
        <v>#DIV/0!</v>
      </c>
      <c r="D34" s="71" t="e">
        <f>AVERAGEIF(Taulukko1[TOISSIJAINEN SISÄLTÖ],"i)*",Taulukko1[Kesto (min) / tapaaminen])</f>
        <v>#DIV/0!</v>
      </c>
      <c r="E34" s="71">
        <f>SUMIF(Taulukko1[TOISSIJAINEN SISÄLTÖ],"i)*",Taulukko1[Kokonaiskesto (min)])/60</f>
        <v>0</v>
      </c>
      <c r="F34" s="71">
        <f>SUMIF(Taulukko1[TOISSIJAINEN SISÄLTÖ],"i)*",Taulukko1[Tapaamiskerrat /lapsi])</f>
        <v>0</v>
      </c>
      <c r="G34" s="71">
        <f>SUMIF(Taulukko1[TOISSIJAINEN SISÄLTÖ],"i)*",Taulukko1[Kävijämäärä a) lapset])</f>
        <v>0</v>
      </c>
      <c r="H34" s="71">
        <f>SUMIF(Taulukko1[TOISSIJAINEN SISÄLTÖ],"i)*",Taulukko1[Kävijämäärä b) aikuiset])</f>
        <v>0</v>
      </c>
      <c r="I34" s="71">
        <f>SUMIF(Taulukko1[TOISSIJAINEN SISÄLTÖ],"i)*",Taulukko1[Kokonaiskävijämäärä])</f>
        <v>0</v>
      </c>
      <c r="J34" s="71" t="e">
        <f>AVERAGEIF(Taulukko1[TOISSIJAINEN SISÄLTÖ],"i)*",Taulukko1[Kokonaiskävijämäärä])</f>
        <v>#DIV/0!</v>
      </c>
      <c r="K34" s="71">
        <f>SUMIF(Taulukko1[TOISSIJAINEN SISÄLTÖ],"i)*",Taulukko1[Asiakaskontakti (lkm)])</f>
        <v>0</v>
      </c>
      <c r="L34" s="71" t="e">
        <f>SUMIF(Taulukko1[TOISSIJAINEN SISÄLTÖ],"i)*",Taulukko1[Asiakaskontakti (lkm)])/SUM(Taulukko1[Asiakaskontakti (lkm)])</f>
        <v>#DIV/0!</v>
      </c>
      <c r="M34" s="69" t="s">
        <v>147</v>
      </c>
    </row>
    <row r="35" spans="1:13" x14ac:dyDescent="0.25">
      <c r="A35" s="53" t="s">
        <v>148</v>
      </c>
      <c r="B35" s="71">
        <f>SUMIF(Taulukko1[TOISSIJAINEN SISÄLTÖ],"j)*",Taulukko1[Tapahtumien määrä])</f>
        <v>0</v>
      </c>
      <c r="C35" s="71" t="e">
        <f>(SUMIF(Taulukko1[TOISSIJAINEN SISÄLTÖ],"j)*",Taulukko1[Tapahtumien määrä]))/SUM(Taulukko1[Tapahtumien määrä])</f>
        <v>#DIV/0!</v>
      </c>
      <c r="D35" s="71" t="e">
        <f>AVERAGEIF(Taulukko1[TOISSIJAINEN SISÄLTÖ],"j)*",Taulukko1[Kesto (min) / tapaaminen])</f>
        <v>#DIV/0!</v>
      </c>
      <c r="E35" s="71">
        <f>SUMIF(Taulukko1[TOISSIJAINEN SISÄLTÖ],"j)*",Taulukko1[Kokonaiskesto (min)])/60</f>
        <v>0</v>
      </c>
      <c r="F35" s="71">
        <f>SUMIF(Taulukko1[TOISSIJAINEN SISÄLTÖ],"j)*",Taulukko1[Tapaamiskerrat /lapsi])</f>
        <v>0</v>
      </c>
      <c r="G35" s="71">
        <f>SUMIF(Taulukko1[TOISSIJAINEN SISÄLTÖ],"j)*",Taulukko1[Kävijämäärä a) lapset])</f>
        <v>0</v>
      </c>
      <c r="H35" s="71">
        <f>SUMIF(Taulukko1[TOISSIJAINEN SISÄLTÖ],"j)*",Taulukko1[Kävijämäärä b) aikuiset])</f>
        <v>0</v>
      </c>
      <c r="I35" s="71">
        <f>SUMIF(Taulukko1[TOISSIJAINEN SISÄLTÖ],"j)*",Taulukko1[Kokonaiskävijämäärä])</f>
        <v>0</v>
      </c>
      <c r="J35" s="71" t="e">
        <f>AVERAGEIF(Taulukko1[TOISSIJAINEN SISÄLTÖ],"j)*",Taulukko1[Kokonaiskävijämäärä])</f>
        <v>#DIV/0!</v>
      </c>
      <c r="K35" s="71">
        <f>SUMIF(Taulukko1[TOISSIJAINEN SISÄLTÖ],"j)*",Taulukko1[Asiakaskontakti (lkm)])</f>
        <v>0</v>
      </c>
      <c r="L35" s="71" t="e">
        <f>SUMIF(Taulukko1[TOISSIJAINEN SISÄLTÖ],"j)*",Taulukko1[Asiakaskontakti (lkm)])/SUM(Taulukko1[Asiakaskontakti (lkm)])</f>
        <v>#DIV/0!</v>
      </c>
      <c r="M35" s="69" t="s">
        <v>148</v>
      </c>
    </row>
    <row r="36" spans="1:13" x14ac:dyDescent="0.25">
      <c r="A36" s="53" t="s">
        <v>193</v>
      </c>
      <c r="B36" s="71">
        <f>SUMIF(Taulukko1[TOISSIJAINEN SISÄLTÖ],"k)*",Taulukko1[Tapahtumien määrä])</f>
        <v>0</v>
      </c>
      <c r="C36" s="71" t="e">
        <f>(SUMIF(Taulukko1[TOISSIJAINEN SISÄLTÖ],"k)*",Taulukko1[Tapahtumien määrä]))/SUM(Taulukko1[Tapahtumien määrä])</f>
        <v>#DIV/0!</v>
      </c>
      <c r="D36" s="71" t="e">
        <f>AVERAGEIF(Taulukko1[TOISSIJAINEN SISÄLTÖ],"k)*",Taulukko1[Kesto (min) / tapaaminen])</f>
        <v>#DIV/0!</v>
      </c>
      <c r="E36" s="71">
        <f>SUMIF(Taulukko1[ENSISIJAINEN SISÄLTÖ],"k)*",Taulukko1[Kokonaiskesto (min)])/60</f>
        <v>0</v>
      </c>
      <c r="F36" s="71">
        <f>SUMIF(Taulukko1[TOISSIJAINEN SISÄLTÖ],"k)*",Taulukko1[Tapaamiskerrat /lapsi])</f>
        <v>0</v>
      </c>
      <c r="G36" s="71">
        <f>SUMIF(Taulukko1[TOISSIJAINEN SISÄLTÖ],"k)*",Taulukko1[Kävijämäärä a) lapset])</f>
        <v>0</v>
      </c>
      <c r="H36" s="71">
        <f>SUMIF(Taulukko1[TOISSIJAINEN SISÄLTÖ],"k)*",Taulukko1[Kävijämäärä b) aikuiset])</f>
        <v>0</v>
      </c>
      <c r="I36" s="71">
        <f>SUMIF(Taulukko1[TOISSIJAINEN SISÄLTÖ],"k)*",Taulukko1[Kokonaiskävijämäärä])</f>
        <v>0</v>
      </c>
      <c r="J36" s="71" t="e">
        <f>AVERAGEIF(Taulukko1[TOISSIJAINEN SISÄLTÖ],"k)*",Taulukko1[Kokonaiskävijämäärä])</f>
        <v>#DIV/0!</v>
      </c>
      <c r="K36" s="71">
        <f>SUMIF(Taulukko1[TOISSIJAINEN SISÄLTÖ],"k)*",Taulukko1[Asiakaskontakti (lkm)])</f>
        <v>0</v>
      </c>
      <c r="L36" s="71" t="e">
        <f>SUMIF(Taulukko1[TOISSIJAINEN SISÄLTÖ],"k)*",Taulukko1[Asiakaskontakti (lkm)])/SUM(Taulukko1[Asiakaskontakti (lkm)])</f>
        <v>#DIV/0!</v>
      </c>
      <c r="M36" s="69" t="s">
        <v>193</v>
      </c>
    </row>
    <row r="37" spans="1:13" x14ac:dyDescent="0.25">
      <c r="A37" s="52" t="s">
        <v>41</v>
      </c>
      <c r="B37" s="76" t="s">
        <v>40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69"/>
    </row>
    <row r="38" spans="1:13" x14ac:dyDescent="0.25">
      <c r="A38" s="53" t="s">
        <v>178</v>
      </c>
      <c r="B38" s="71">
        <f>SUMIF(Taulukko1[KOHDERYHMÄ],"a)*",Taulukko1[Tapahtumien määrä])</f>
        <v>0</v>
      </c>
      <c r="C38" s="48" t="e">
        <f>(SUMIF(Taulukko1[KOHDERYHMÄ],"a)*",Taulukko1[Tapahtumien määrä]))/SUM(Taulukko1[Tapahtumien määrä])</f>
        <v>#DIV/0!</v>
      </c>
      <c r="D38" s="71" t="e">
        <f>AVERAGEIF(Taulukko1[KOHDERYHMÄ],"a)*",Taulukko1[Kesto (min) / tapaaminen])</f>
        <v>#DIV/0!</v>
      </c>
      <c r="E38" s="72">
        <f>SUMIF(Taulukko1[KOHDERYHMÄ],"a)*",Taulukko1[Kokonaiskesto (min)])/60</f>
        <v>0</v>
      </c>
      <c r="F38" s="70">
        <f>SUMIF(Taulukko1[KOHDERYHMÄ],"a)*",Taulukko1[Tapaamiskerrat /lapsi])</f>
        <v>0</v>
      </c>
      <c r="G38" s="70">
        <f>SUMIF(Taulukko1[KOHDERYHMÄ],"a)*",Taulukko1[Kävijämäärä a) lapset])</f>
        <v>0</v>
      </c>
      <c r="H38" s="70">
        <f>SUMIF(Taulukko1[KOHDERYHMÄ],"a)*",Taulukko1[Kävijämäärä b) aikuiset])</f>
        <v>0</v>
      </c>
      <c r="I38" s="70">
        <f>SUMIF(Taulukko1[KOHDERYHMÄ],"a)*",Taulukko1[Kokonaiskävijämäärä])</f>
        <v>0</v>
      </c>
      <c r="J38" s="71" t="e">
        <f>AVERAGEIF(Taulukko1[KOHDERYHMÄ],"a)*",Taulukko1[Kokonaiskävijämäärä])</f>
        <v>#DIV/0!</v>
      </c>
      <c r="K38" s="70">
        <f>SUMIF(Taulukko1[KOHDERYHMÄ],"a)*",Taulukko1[Asiakaskontakti (lkm)])</f>
        <v>0</v>
      </c>
      <c r="L38" s="48" t="e">
        <f>SUMIF(Taulukko1[KOHDERYHMÄ],"a)*",Taulukko1[Asiakaskontakti (lkm)])/SUM(Taulukko1[Asiakaskontakti (lkm)])</f>
        <v>#DIV/0!</v>
      </c>
      <c r="M38" s="73" t="s">
        <v>185</v>
      </c>
    </row>
    <row r="39" spans="1:13" x14ac:dyDescent="0.25">
      <c r="A39" s="53" t="s">
        <v>179</v>
      </c>
      <c r="B39" s="71">
        <f>SUMIF(Taulukko1[KOHDERYHMÄ],"b)*",Taulukko1[Tapahtumien määrä])</f>
        <v>0</v>
      </c>
      <c r="C39" s="48" t="e">
        <f>(SUMIF(Taulukko1[KOHDERYHMÄ],"b)*",Taulukko1[Tapahtumien määrä]))/SUM(Taulukko1[Tapahtumien määrä])</f>
        <v>#DIV/0!</v>
      </c>
      <c r="D39" s="71" t="e">
        <f>AVERAGEIF(Taulukko1[KOHDERYHMÄ],"b)*",Taulukko1[Kesto (min) / tapaaminen])</f>
        <v>#DIV/0!</v>
      </c>
      <c r="E39" s="72">
        <f>SUMIF(Taulukko1[KOHDERYHMÄ],"b)*",Taulukko1[Kokonaiskesto (min)])/60</f>
        <v>0</v>
      </c>
      <c r="F39" s="70">
        <f>SUMIF(Taulukko1[KOHDERYHMÄ],"b)*",Taulukko1[Tapaamiskerrat /lapsi])</f>
        <v>0</v>
      </c>
      <c r="G39" s="70">
        <f>SUMIF(Taulukko1[KOHDERYHMÄ],"b)*",Taulukko1[Kävijämäärä a) lapset])</f>
        <v>0</v>
      </c>
      <c r="H39" s="70">
        <f>SUMIF(Taulukko1[KOHDERYHMÄ],"b)*",Taulukko1[Kävijämäärä b) aikuiset])</f>
        <v>0</v>
      </c>
      <c r="I39" s="70">
        <f>SUMIF(Taulukko1[KOHDERYHMÄ],"b)*",Taulukko1[Kokonaiskävijämäärä])</f>
        <v>0</v>
      </c>
      <c r="J39" s="71" t="e">
        <f>AVERAGEIF(Taulukko1[KOHDERYHMÄ],"b)*",Taulukko1[Kokonaiskävijämäärä])</f>
        <v>#DIV/0!</v>
      </c>
      <c r="K39" s="70">
        <f>SUMIF(Taulukko1[KOHDERYHMÄ],"b)*",Taulukko1[Asiakaskontakti (lkm)])</f>
        <v>0</v>
      </c>
      <c r="L39" s="48" t="e">
        <f>SUMIF(Taulukko1[KOHDERYHMÄ],"b)*",Taulukko1[Asiakaskontakti (lkm)])/SUM(Taulukko1[Asiakaskontakti (lkm)])</f>
        <v>#DIV/0!</v>
      </c>
      <c r="M39" s="73" t="s">
        <v>186</v>
      </c>
    </row>
    <row r="40" spans="1:13" x14ac:dyDescent="0.25">
      <c r="A40" s="53" t="s">
        <v>180</v>
      </c>
      <c r="B40" s="71">
        <f>SUMIF(Taulukko1[KOHDERYHMÄ],"c)*",Taulukko1[Tapahtumien määrä])</f>
        <v>0</v>
      </c>
      <c r="C40" s="48" t="e">
        <f>(SUMIF(Taulukko1[KOHDERYHMÄ],"c)*",Taulukko1[Tapahtumien määrä]))/SUM(Taulukko1[Tapahtumien määrä])</f>
        <v>#DIV/0!</v>
      </c>
      <c r="D40" s="71" t="e">
        <f>AVERAGEIF(Taulukko1[KOHDERYHMÄ],"c)*",Taulukko1[Kesto (min) / tapaaminen])</f>
        <v>#DIV/0!</v>
      </c>
      <c r="E40" s="72">
        <f>SUMIF(Taulukko1[KOHDERYHMÄ],"c)*",Taulukko1[Kokonaiskesto (min)])/60</f>
        <v>0</v>
      </c>
      <c r="F40" s="70">
        <f>SUMIF(Taulukko1[KOHDERYHMÄ],"c)*",Taulukko1[Tapaamiskerrat /lapsi])</f>
        <v>0</v>
      </c>
      <c r="G40" s="70">
        <f>SUMIF(Taulukko1[KOHDERYHMÄ],"c)*",Taulukko1[Kävijämäärä a) lapset])</f>
        <v>0</v>
      </c>
      <c r="H40" s="70">
        <f>SUMIF(Taulukko1[KOHDERYHMÄ],"c)*",Taulukko1[Kävijämäärä b) aikuiset])</f>
        <v>0</v>
      </c>
      <c r="I40" s="70">
        <f>SUMIF(Taulukko1[KOHDERYHMÄ],"c)*",Taulukko1[Kokonaiskävijämäärä])</f>
        <v>0</v>
      </c>
      <c r="J40" s="71" t="e">
        <f>AVERAGEIF(Taulukko1[KOHDERYHMÄ],"c)*",Taulukko1[Kokonaiskävijämäärä])</f>
        <v>#DIV/0!</v>
      </c>
      <c r="K40" s="70">
        <f>SUMIF(Taulukko1[KOHDERYHMÄ],"c)*",Taulukko1[Asiakaskontakti (lkm)])</f>
        <v>0</v>
      </c>
      <c r="L40" s="48" t="e">
        <f>SUMIF(Taulukko1[KOHDERYHMÄ],"c)*",Taulukko1[Asiakaskontakti (lkm)])/SUM(Taulukko1[Asiakaskontakti (lkm)])</f>
        <v>#DIV/0!</v>
      </c>
      <c r="M40" s="73" t="s">
        <v>187</v>
      </c>
    </row>
    <row r="41" spans="1:13" x14ac:dyDescent="0.25">
      <c r="A41" s="53" t="s">
        <v>181</v>
      </c>
      <c r="B41" s="71">
        <f>SUMIF(Taulukko1[KOHDERYHMÄ],"d)*",Taulukko1[Tapahtumien määrä])</f>
        <v>0</v>
      </c>
      <c r="C41" s="48" t="e">
        <f>(SUMIF(Taulukko1[KOHDERYHMÄ],"d)*",Taulukko1[Tapahtumien määrä]))/SUM(Taulukko1[Tapahtumien määrä])</f>
        <v>#DIV/0!</v>
      </c>
      <c r="D41" s="71" t="e">
        <f>AVERAGEIF(Taulukko1[KOHDERYHMÄ],"d)*",Taulukko1[Kesto (min) / tapaaminen])</f>
        <v>#DIV/0!</v>
      </c>
      <c r="E41" s="72">
        <f>SUMIF(Taulukko1[KOHDERYHMÄ],"d)*",Taulukko1[Kokonaiskesto (min)])/60</f>
        <v>0</v>
      </c>
      <c r="F41" s="70">
        <f>SUMIF(Taulukko1[KOHDERYHMÄ],"d)*",Taulukko1[Tapaamiskerrat /lapsi])</f>
        <v>0</v>
      </c>
      <c r="G41" s="70">
        <f>SUMIF(Taulukko1[KOHDERYHMÄ],"d)*",Taulukko1[Kävijämäärä a) lapset])</f>
        <v>0</v>
      </c>
      <c r="H41" s="70">
        <f>SUMIF(Taulukko1[KOHDERYHMÄ],"d)*",Taulukko1[Kävijämäärä b) aikuiset])</f>
        <v>0</v>
      </c>
      <c r="I41" s="70">
        <f>SUMIF(Taulukko1[KOHDERYHMÄ],"d)*",Taulukko1[Kokonaiskävijämäärä])</f>
        <v>0</v>
      </c>
      <c r="J41" s="71" t="e">
        <f>AVERAGEIF(Taulukko1[KOHDERYHMÄ],"d)*",Taulukko1[Kokonaiskävijämäärä])</f>
        <v>#DIV/0!</v>
      </c>
      <c r="K41" s="70">
        <f>SUMIF(Taulukko1[KOHDERYHMÄ],"d)*",Taulukko1[Asiakaskontakti (lkm)])</f>
        <v>0</v>
      </c>
      <c r="L41" s="48" t="e">
        <f>SUMIF(Taulukko1[KOHDERYHMÄ],"d)*",Taulukko1[Asiakaskontakti (lkm)])/SUM(Taulukko1[Asiakaskontakti (lkm)])</f>
        <v>#DIV/0!</v>
      </c>
      <c r="M41" s="73" t="s">
        <v>188</v>
      </c>
    </row>
    <row r="42" spans="1:13" x14ac:dyDescent="0.25">
      <c r="A42" s="53" t="s">
        <v>31</v>
      </c>
      <c r="B42" s="71">
        <f>SUMIF(Taulukko1[KOHDERYHMÄ],"e)*",Taulukko1[Tapahtumien määrä])</f>
        <v>0</v>
      </c>
      <c r="C42" s="48" t="e">
        <f>(SUMIF(Taulukko1[KOHDERYHMÄ],"e)*",Taulukko1[Tapahtumien määrä]))/SUM(Taulukko1[Tapahtumien määrä])</f>
        <v>#DIV/0!</v>
      </c>
      <c r="D42" s="71" t="e">
        <f>AVERAGEIF(Taulukko1[KOHDERYHMÄ],"e)*",Taulukko1[Kesto (min) / tapaaminen])</f>
        <v>#DIV/0!</v>
      </c>
      <c r="E42" s="72">
        <f>SUMIF(Taulukko1[KOHDERYHMÄ],"e)*",Taulukko1[Kokonaiskesto (min)])/60</f>
        <v>0</v>
      </c>
      <c r="F42" s="70">
        <f>SUMIF(Taulukko1[KOHDERYHMÄ],"e)*",Taulukko1[Tapaamiskerrat /lapsi])</f>
        <v>0</v>
      </c>
      <c r="G42" s="70">
        <f>SUMIF(Taulukko1[KOHDERYHMÄ],"e)*",Taulukko1[Kävijämäärä a) lapset])</f>
        <v>0</v>
      </c>
      <c r="H42" s="70">
        <f>SUMIF(Taulukko1[KOHDERYHMÄ],"e)*",Taulukko1[Kävijämäärä b) aikuiset])</f>
        <v>0</v>
      </c>
      <c r="I42" s="70">
        <f>SUMIF(Taulukko1[KOHDERYHMÄ],"e)*",Taulukko1[Kokonaiskävijämäärä])</f>
        <v>0</v>
      </c>
      <c r="J42" s="71" t="e">
        <f>AVERAGEIF(Taulukko1[KOHDERYHMÄ],"e)*",Taulukko1[Kokonaiskävijämäärä])</f>
        <v>#DIV/0!</v>
      </c>
      <c r="K42" s="70">
        <f>SUMIF(Taulukko1[KOHDERYHMÄ],"e)*",Taulukko1[Asiakaskontakti (lkm)])</f>
        <v>0</v>
      </c>
      <c r="L42" s="48" t="e">
        <f>SUMIF(Taulukko1[KOHDERYHMÄ],"e)*",Taulukko1[Asiakaskontakti (lkm)])/SUM(Taulukko1[Asiakaskontakti (lkm)])</f>
        <v>#DIV/0!</v>
      </c>
      <c r="M42" s="73" t="s">
        <v>31</v>
      </c>
    </row>
    <row r="43" spans="1:13" x14ac:dyDescent="0.25">
      <c r="A43" s="53" t="s">
        <v>182</v>
      </c>
      <c r="B43" s="71">
        <f>SUMIF(Taulukko1[KOHDERYHMÄ],"f)*",Taulukko1[Tapahtumien määrä])</f>
        <v>0</v>
      </c>
      <c r="C43" s="48" t="e">
        <f>(SUMIF(Taulukko1[KOHDERYHMÄ],"f)*",Taulukko1[Tapahtumien määrä]))/SUM(Taulukko1[Tapahtumien määrä])</f>
        <v>#DIV/0!</v>
      </c>
      <c r="D43" s="71" t="e">
        <f>AVERAGEIF(Taulukko1[KOHDERYHMÄ],"f)*",Taulukko1[Kesto (min) / tapaaminen])</f>
        <v>#DIV/0!</v>
      </c>
      <c r="E43" s="72">
        <f>SUMIF(Taulukko1[KOHDERYHMÄ],"f)*",Taulukko1[Kokonaiskesto (min)])/60</f>
        <v>0</v>
      </c>
      <c r="F43" s="70">
        <f>SUMIF(Taulukko1[KOHDERYHMÄ],"f)*",Taulukko1[Tapaamiskerrat /lapsi])</f>
        <v>0</v>
      </c>
      <c r="G43" s="70">
        <f>SUMIF(Taulukko1[KOHDERYHMÄ],"f)*",Taulukko1[Kävijämäärä a) lapset])</f>
        <v>0</v>
      </c>
      <c r="H43" s="70">
        <f>SUMIF(Taulukko1[KOHDERYHMÄ],"f)*",Taulukko1[Kävijämäärä b) aikuiset])</f>
        <v>0</v>
      </c>
      <c r="I43" s="70">
        <f>SUMIF(Taulukko1[KOHDERYHMÄ],"f)*",Taulukko1[Kokonaiskävijämäärä])</f>
        <v>0</v>
      </c>
      <c r="J43" s="71" t="e">
        <f>AVERAGEIF(Taulukko1[KOHDERYHMÄ],"f)*",Taulukko1[Kokonaiskävijämäärä])</f>
        <v>#DIV/0!</v>
      </c>
      <c r="K43" s="70">
        <f>SUMIF(Taulukko1[KOHDERYHMÄ],"f)*",Taulukko1[Asiakaskontakti (lkm)])</f>
        <v>0</v>
      </c>
      <c r="L43" s="48" t="e">
        <f>SUMIF(Taulukko1[KOHDERYHMÄ],"f)*",Taulukko1[Asiakaskontakti (lkm)])/SUM(Taulukko1[Asiakaskontakti (lkm)])</f>
        <v>#DIV/0!</v>
      </c>
      <c r="M43" s="73" t="s">
        <v>189</v>
      </c>
    </row>
    <row r="44" spans="1:13" x14ac:dyDescent="0.25">
      <c r="A44" s="55" t="s">
        <v>38</v>
      </c>
      <c r="B44" s="71">
        <f>SUMIF(Taulukko1[KOHDERYHMÄ],"g)*",Taulukko1[Tapahtumien määrä])</f>
        <v>0</v>
      </c>
      <c r="C44" s="48" t="e">
        <f>(SUMIF(Taulukko1[KOHDERYHMÄ],"g)*",Taulukko1[Tapahtumien määrä]))/SUM(Taulukko1[Tapahtumien määrä])</f>
        <v>#DIV/0!</v>
      </c>
      <c r="D44" s="71" t="e">
        <f>AVERAGEIF(Taulukko1[KOHDERYHMÄ],"g)*",Taulukko1[Kesto (min) / tapaaminen])</f>
        <v>#DIV/0!</v>
      </c>
      <c r="E44" s="72">
        <f>SUMIF(Taulukko1[KOHDERYHMÄ],"g)*",Taulukko1[Kokonaiskesto (min)])/60</f>
        <v>0</v>
      </c>
      <c r="F44" s="70">
        <f>SUMIF(Taulukko1[KOHDERYHMÄ],"g)*",Taulukko1[Tapaamiskerrat /lapsi])</f>
        <v>0</v>
      </c>
      <c r="G44" s="70">
        <f>SUMIF(Taulukko1[KOHDERYHMÄ],"g)*",Taulukko1[Kävijämäärä a) lapset])</f>
        <v>0</v>
      </c>
      <c r="H44" s="70">
        <f>SUMIF(Taulukko1[KOHDERYHMÄ],"g)*",Taulukko1[Kävijämäärä b) aikuiset])</f>
        <v>0</v>
      </c>
      <c r="I44" s="70">
        <f>SUMIF(Taulukko1[KOHDERYHMÄ],"g)*",Taulukko1[Kokonaiskävijämäärä])</f>
        <v>0</v>
      </c>
      <c r="J44" s="71" t="e">
        <f>AVERAGEIF(Taulukko1[KOHDERYHMÄ],"g)*",Taulukko1[Kokonaiskävijämäärä])</f>
        <v>#DIV/0!</v>
      </c>
      <c r="K44" s="70">
        <f>SUMIF(Taulukko1[KOHDERYHMÄ],"g)*",Taulukko1[Asiakaskontakti (lkm)])</f>
        <v>0</v>
      </c>
      <c r="L44" s="48" t="e">
        <f>SUMIF(Taulukko1[KOHDERYHMÄ],"g)*",Taulukko1[Asiakaskontakti (lkm)])/SUM(Taulukko1[Asiakaskontakti (lkm)])</f>
        <v>#DIV/0!</v>
      </c>
      <c r="M44" s="69" t="s">
        <v>38</v>
      </c>
    </row>
    <row r="45" spans="1:13" x14ac:dyDescent="0.25">
      <c r="A45" s="52" t="s">
        <v>41</v>
      </c>
      <c r="B45" s="77" t="s">
        <v>87</v>
      </c>
      <c r="C45" s="77"/>
      <c r="D45" s="77"/>
      <c r="M45" s="139"/>
    </row>
    <row r="46" spans="1:13" x14ac:dyDescent="0.25">
      <c r="A46" s="54" t="s">
        <v>90</v>
      </c>
      <c r="B46" s="71">
        <f>SUMIF(Taulukko1[Alueellisuus],"a)*",Taulukko1[Tapahtumien määrä])</f>
        <v>0</v>
      </c>
      <c r="C46" s="48" t="e">
        <f>(SUMIF(Taulukko1[Alueellisuus],"a)*",Taulukko1[Tapahtumien määrä]))/SUM(Taulukko1[Tapahtumien määrä])</f>
        <v>#DIV/0!</v>
      </c>
      <c r="D46" s="71" t="e">
        <f>AVERAGEIF(Taulukko1[Alueellisuus],"a)*",Taulukko1[Kesto (min) / tapaaminen])</f>
        <v>#DIV/0!</v>
      </c>
      <c r="E46" s="72">
        <f>SUMIF(Taulukko1[Alueellisuus],"a)*",Taulukko1[Kokonaiskesto (min)])/60</f>
        <v>0</v>
      </c>
      <c r="F46" s="70">
        <f>SUMIF(Taulukko1[Alueellisuus],"a)*",Taulukko1[Tapaamiskerrat /lapsi])</f>
        <v>0</v>
      </c>
      <c r="G46" s="70">
        <f>SUMIF(Taulukko1[Alueellisuus],"a)*",Taulukko1[Kävijämäärä a) lapset])</f>
        <v>0</v>
      </c>
      <c r="H46" s="70">
        <f>SUMIF(Taulukko1[Alueellisuus],"a)*",Taulukko1[Kävijämäärä b) aikuiset])</f>
        <v>0</v>
      </c>
      <c r="I46" s="70">
        <f>SUMIF(Taulukko1[Alueellisuus],"a)*",Taulukko1[Kokonaiskävijämäärä])</f>
        <v>0</v>
      </c>
      <c r="J46" s="71" t="e">
        <f>AVERAGEIF(Taulukko1[Alueellisuus],"a)*",Taulukko1[Kokonaiskävijämäärä])</f>
        <v>#DIV/0!</v>
      </c>
      <c r="K46" s="70">
        <f>SUMIF(Taulukko1[Alueellisuus],"a)*",Taulukko1[Asiakaskontakti (lkm)])</f>
        <v>0</v>
      </c>
      <c r="L46" s="48" t="e">
        <f>SUMIF(Taulukko1[Alueellisuus],"a)*",Taulukko1[Asiakaskontakti (lkm)])/SUM(Taulukko1[Asiakaskontakti (lkm)])</f>
        <v>#DIV/0!</v>
      </c>
      <c r="M46" s="73" t="s">
        <v>90</v>
      </c>
    </row>
    <row r="47" spans="1:13" x14ac:dyDescent="0.25">
      <c r="A47" s="54" t="s">
        <v>91</v>
      </c>
      <c r="B47" s="71">
        <f>SUMIF(Taulukko1[Alueellisuus],"b)*",Taulukko1[Tapahtumien määrä])</f>
        <v>0</v>
      </c>
      <c r="C47" s="48" t="e">
        <f>(SUMIF(Taulukko1[Alueellisuus],"b)*",Taulukko1[Tapahtumien määrä]))/SUM(Taulukko1[Tapahtumien määrä])</f>
        <v>#DIV/0!</v>
      </c>
      <c r="D47" s="71" t="e">
        <f>AVERAGEIF(Taulukko1[Alueellisuus],"b)*",Taulukko1[Kesto (min) / tapaaminen])</f>
        <v>#DIV/0!</v>
      </c>
      <c r="E47" s="72">
        <f>SUMIF(Taulukko1[Alueellisuus],"b)*",Taulukko1[Kokonaiskesto (min)])/60</f>
        <v>0</v>
      </c>
      <c r="F47" s="70">
        <f>SUMIF(Taulukko1[Alueellisuus],"b)*",Taulukko1[Tapaamiskerrat /lapsi])</f>
        <v>0</v>
      </c>
      <c r="G47" s="70">
        <f>SUMIF(Taulukko1[Alueellisuus],"b)*",Taulukko1[Kävijämäärä a) lapset])</f>
        <v>0</v>
      </c>
      <c r="H47" s="70">
        <f>SUMIF(Taulukko1[Alueellisuus],"b)*",Taulukko1[Kävijämäärä b) aikuiset])</f>
        <v>0</v>
      </c>
      <c r="I47" s="70">
        <f>SUMIF(Taulukko1[Alueellisuus],"b)*",Taulukko1[Kokonaiskävijämäärä])</f>
        <v>0</v>
      </c>
      <c r="J47" s="71" t="e">
        <f>AVERAGEIF(Taulukko1[Alueellisuus],"b)*",Taulukko1[Kokonaiskävijämäärä])</f>
        <v>#DIV/0!</v>
      </c>
      <c r="K47" s="70">
        <f>SUMIF(Taulukko1[Alueellisuus],"b)*",Taulukko1[Asiakaskontakti (lkm)])</f>
        <v>0</v>
      </c>
      <c r="L47" s="48" t="e">
        <f>SUMIF(Taulukko1[Alueellisuus],"b)*",Taulukko1[Asiakaskontakti (lkm)])/SUM(Taulukko1[Asiakaskontakti (lkm)])</f>
        <v>#DIV/0!</v>
      </c>
      <c r="M47" s="73" t="s">
        <v>91</v>
      </c>
    </row>
    <row r="48" spans="1:13" x14ac:dyDescent="0.25">
      <c r="A48" s="54" t="s">
        <v>163</v>
      </c>
      <c r="B48" s="71">
        <f>SUMIF(Taulukko1[Alueellisuus],"c)*",Taulukko1[Tapahtumien määrä])</f>
        <v>0</v>
      </c>
      <c r="C48" s="48" t="e">
        <f>(SUMIF(Taulukko1[Alueellisuus],"c)*",Taulukko1[Tapahtumien määrä]))/SUM(Taulukko1[Tapahtumien määrä])</f>
        <v>#DIV/0!</v>
      </c>
      <c r="D48" s="71" t="e">
        <f>AVERAGEIF(Taulukko1[Alueellisuus],"c)*",Taulukko1[Kesto (min) / tapaaminen])</f>
        <v>#DIV/0!</v>
      </c>
      <c r="E48" s="72">
        <f>SUMIF(Taulukko1[Alueellisuus],"c)*",Taulukko1[Kokonaiskesto (min)])/60</f>
        <v>0</v>
      </c>
      <c r="F48" s="70">
        <f>SUMIF(Taulukko1[Alueellisuus],"c)*",Taulukko1[Tapaamiskerrat /lapsi])</f>
        <v>0</v>
      </c>
      <c r="G48" s="70">
        <f>SUMIF(Taulukko1[Alueellisuus],"c)*",Taulukko1[Kävijämäärä a) lapset])</f>
        <v>0</v>
      </c>
      <c r="H48" s="70">
        <f>SUMIF(Taulukko1[Alueellisuus],"c)*",Taulukko1[Kävijämäärä b) aikuiset])</f>
        <v>0</v>
      </c>
      <c r="I48" s="70">
        <f>SUMIF(Taulukko1[Alueellisuus],"c)*",Taulukko1[Kokonaiskävijämäärä])</f>
        <v>0</v>
      </c>
      <c r="J48" s="71" t="e">
        <f>AVERAGEIF(Taulukko1[Alueellisuus],"c)*",Taulukko1[Kokonaiskävijämäärä])</f>
        <v>#DIV/0!</v>
      </c>
      <c r="K48" s="70">
        <f>SUMIF(Taulukko1[Alueellisuus],"c)*",Taulukko1[Asiakaskontakti (lkm)])</f>
        <v>0</v>
      </c>
      <c r="L48" s="48" t="e">
        <f>SUMIF(Taulukko1[Alueellisuus],"c)*",Taulukko1[Asiakaskontakti (lkm)])/SUM(Taulukko1[Asiakaskontakti (lkm)])</f>
        <v>#DIV/0!</v>
      </c>
      <c r="M48" s="73" t="s">
        <v>163</v>
      </c>
    </row>
    <row r="49" spans="1:13" x14ac:dyDescent="0.25">
      <c r="A49" s="54" t="s">
        <v>164</v>
      </c>
      <c r="B49" s="71">
        <f>SUMIF(Taulukko1[Alueellisuus],"d)*",Taulukko1[Tapahtumien määrä])</f>
        <v>0</v>
      </c>
      <c r="C49" s="48" t="e">
        <f>(SUMIF(Taulukko1[Alueellisuus],"d)*",Taulukko1[Tapahtumien määrä]))/SUM(Taulukko1[Tapahtumien määrä])</f>
        <v>#DIV/0!</v>
      </c>
      <c r="D49" s="71" t="e">
        <f>AVERAGEIF(Taulukko1[Alueellisuus],"d)*",Taulukko1[Kesto (min) / tapaaminen])</f>
        <v>#DIV/0!</v>
      </c>
      <c r="E49" s="72">
        <f>SUMIF(Taulukko1[Alueellisuus],"d)*",Taulukko1[Kokonaiskesto (min)])/60</f>
        <v>0</v>
      </c>
      <c r="F49" s="70">
        <f>SUMIF(Taulukko1[Alueellisuus],"d)*",Taulukko1[Tapaamiskerrat /lapsi])</f>
        <v>0</v>
      </c>
      <c r="G49" s="70">
        <f>SUMIF(Taulukko1[Alueellisuus],"d)*",Taulukko1[Kävijämäärä a) lapset])</f>
        <v>0</v>
      </c>
      <c r="H49" s="70">
        <f>SUMIF(Taulukko1[Alueellisuus],"d)*",Taulukko1[Kävijämäärä b) aikuiset])</f>
        <v>0</v>
      </c>
      <c r="I49" s="70">
        <f>SUMIF(Taulukko1[Alueellisuus],"d)*",Taulukko1[Kokonaiskävijämäärä])</f>
        <v>0</v>
      </c>
      <c r="J49" s="71" t="e">
        <f>AVERAGEIF(Taulukko1[Alueellisuus],"d)*",Taulukko1[Kokonaiskävijämäärä])</f>
        <v>#DIV/0!</v>
      </c>
      <c r="K49" s="70">
        <f>SUMIF(Taulukko1[Alueellisuus],"d)*",Taulukko1[Asiakaskontakti (lkm)])</f>
        <v>0</v>
      </c>
      <c r="L49" s="48" t="e">
        <f>SUMIF(Taulukko1[Alueellisuus],"d)*",Taulukko1[Asiakaskontakti (lkm)])/SUM(Taulukko1[Asiakaskontakti (lkm)])</f>
        <v>#DIV/0!</v>
      </c>
      <c r="M49" s="73" t="s">
        <v>164</v>
      </c>
    </row>
    <row r="50" spans="1:13" x14ac:dyDescent="0.25">
      <c r="A50" s="54" t="s">
        <v>165</v>
      </c>
      <c r="B50" s="71">
        <f>SUMIF(Taulukko1[Alueellisuus],"e)*",Taulukko1[Tapahtumien määrä])</f>
        <v>0</v>
      </c>
      <c r="C50" s="48" t="e">
        <f>(SUMIF(Taulukko1[Alueellisuus],"e)*",Taulukko1[Tapahtumien määrä]))/SUM(Taulukko1[Tapahtumien määrä])</f>
        <v>#DIV/0!</v>
      </c>
      <c r="D50" s="71" t="e">
        <f>AVERAGEIF(Taulukko1[Alueellisuus],"e)*",Taulukko1[Kesto (min) / tapaaminen])</f>
        <v>#DIV/0!</v>
      </c>
      <c r="E50" s="72">
        <f>SUMIF(Taulukko1[Alueellisuus],"e)*",Taulukko1[Kokonaiskesto (min)])/60</f>
        <v>0</v>
      </c>
      <c r="F50" s="70">
        <f>SUMIF(Taulukko1[Alueellisuus],"e)*",Taulukko1[Tapaamiskerrat /lapsi])</f>
        <v>0</v>
      </c>
      <c r="G50" s="70">
        <f>SUMIF(Taulukko1[Alueellisuus],"e)*",Taulukko1[Kävijämäärä a) lapset])</f>
        <v>0</v>
      </c>
      <c r="H50" s="70">
        <f>SUMIF(Taulukko1[Alueellisuus],"e)*",Taulukko1[Kävijämäärä b) aikuiset])</f>
        <v>0</v>
      </c>
      <c r="I50" s="70">
        <f>SUMIF(Taulukko1[Alueellisuus],"e)*",Taulukko1[Kokonaiskävijämäärä])</f>
        <v>0</v>
      </c>
      <c r="J50" s="71" t="e">
        <f>AVERAGEIF(Taulukko1[Alueellisuus],"e)*",Taulukko1[Kokonaiskävijämäärä])</f>
        <v>#DIV/0!</v>
      </c>
      <c r="K50" s="70">
        <f>SUMIF(Taulukko1[Alueellisuus],"e)*",Taulukko1[Asiakaskontakti (lkm)])</f>
        <v>0</v>
      </c>
      <c r="L50" s="48" t="e">
        <f>SUMIF(Taulukko1[Alueellisuus],"e)*",Taulukko1[Asiakaskontakti (lkm)])/SUM(Taulukko1[Asiakaskontakti (lkm)])</f>
        <v>#DIV/0!</v>
      </c>
      <c r="M50" s="73" t="s">
        <v>165</v>
      </c>
    </row>
    <row r="51" spans="1:13" x14ac:dyDescent="0.25">
      <c r="A51" s="52" t="s">
        <v>41</v>
      </c>
      <c r="B51" s="78" t="s">
        <v>63</v>
      </c>
      <c r="C51" s="77"/>
      <c r="D51" s="77"/>
      <c r="M51" s="139"/>
    </row>
    <row r="52" spans="1:13" x14ac:dyDescent="0.25">
      <c r="A52" s="54" t="s">
        <v>75</v>
      </c>
      <c r="B52" s="71">
        <f>SUMIF(Taulukko1[Ikäryhmä],"a)*",Taulukko1[Tapahtumien määrä])</f>
        <v>0</v>
      </c>
      <c r="C52" s="48" t="e">
        <f>(SUMIF(Taulukko1[Ikäryhmä],"a)*",Taulukko1[Tapahtumien määrä]))/SUM(Taulukko1[Tapahtumien määrä])</f>
        <v>#DIV/0!</v>
      </c>
      <c r="D52" s="71" t="e">
        <f>AVERAGEIF(Taulukko1[Ikäryhmä],"a)*",Taulukko1[Kesto (min) / tapaaminen])</f>
        <v>#DIV/0!</v>
      </c>
      <c r="E52" s="72">
        <f>SUMIF(Taulukko1[Ikäryhmä],"a)*",Taulukko1[Kokonaiskesto (min)])/60</f>
        <v>0</v>
      </c>
      <c r="F52" s="70">
        <f>SUMIF(Taulukko1[Ikäryhmä],"a)*",Taulukko1[Tapaamiskerrat /lapsi])</f>
        <v>0</v>
      </c>
      <c r="G52" s="70">
        <f>SUMIF(Taulukko1[Ikäryhmä],"a)*",Taulukko1[Kävijämäärä a) lapset])</f>
        <v>0</v>
      </c>
      <c r="H52" s="70">
        <f>SUMIF(Taulukko1[Ikäryhmä],"a)*",Taulukko1[Kävijämäärä b) aikuiset])</f>
        <v>0</v>
      </c>
      <c r="I52" s="70">
        <f>SUMIF(Taulukko1[Ikäryhmä],"a)*",Taulukko1[Kokonaiskävijämäärä])</f>
        <v>0</v>
      </c>
      <c r="J52" s="71" t="e">
        <f>AVERAGEIF(Taulukko1[Ikäryhmä],"a)*",Taulukko1[Kokonaiskävijämäärä])</f>
        <v>#DIV/0!</v>
      </c>
      <c r="K52" s="70">
        <f>SUMIF(Taulukko1[Ikäryhmä],"a)*",Taulukko1[Asiakaskontakti (lkm)])</f>
        <v>0</v>
      </c>
      <c r="L52" s="48" t="e">
        <f>SUMIF(Taulukko1[Ikäryhmä],"a)*",Taulukko1[Asiakaskontakti (lkm)])/SUM(Taulukko1[Asiakaskontakti (lkm)])</f>
        <v>#DIV/0!</v>
      </c>
      <c r="M52" s="73" t="s">
        <v>75</v>
      </c>
    </row>
    <row r="53" spans="1:13" x14ac:dyDescent="0.25">
      <c r="A53" s="136" t="s">
        <v>93</v>
      </c>
      <c r="B53" s="71">
        <f>SUMIF(Taulukko1[Ikäryhmä],"b)*",Taulukko1[Tapahtumien määrä])</f>
        <v>0</v>
      </c>
      <c r="C53" s="48" t="e">
        <f>(SUMIF(Taulukko1[Ikäryhmä],"b)*",Taulukko1[Tapahtumien määrä]))/SUM(Taulukko1[Tapahtumien määrä])</f>
        <v>#DIV/0!</v>
      </c>
      <c r="D53" s="71" t="e">
        <f>AVERAGEIF(Taulukko1[Ikäryhmä],"b)*",Taulukko1[Kesto (min) / tapaaminen])</f>
        <v>#DIV/0!</v>
      </c>
      <c r="E53" s="72">
        <f>SUMIF(Taulukko1[Ikäryhmä],"b)*",Taulukko1[Kokonaiskesto (min)])/60</f>
        <v>0</v>
      </c>
      <c r="F53" s="70">
        <f>SUMIF(Taulukko1[Ikäryhmä],"b)*",Taulukko1[Tapaamiskerrat /lapsi])</f>
        <v>0</v>
      </c>
      <c r="G53" s="70">
        <f>SUMIF(Taulukko1[Ikäryhmä],"b)*",Taulukko1[Kävijämäärä a) lapset])</f>
        <v>0</v>
      </c>
      <c r="H53" s="70">
        <f>SUMIF(Taulukko1[Ikäryhmä],"b)*",Taulukko1[Kävijämäärä b) aikuiset])</f>
        <v>0</v>
      </c>
      <c r="I53" s="70">
        <f>SUMIF(Taulukko1[Ikäryhmä],"b)*",Taulukko1[Kokonaiskävijämäärä])</f>
        <v>0</v>
      </c>
      <c r="J53" s="71" t="e">
        <f>AVERAGEIF(Taulukko1[Ikäryhmä],"b)*",Taulukko1[Kokonaiskävijämäärä])</f>
        <v>#DIV/0!</v>
      </c>
      <c r="K53" s="70">
        <f>SUMIF(Taulukko1[Ikäryhmä],"b)*",Taulukko1[Asiakaskontakti (lkm)])</f>
        <v>0</v>
      </c>
      <c r="L53" s="48" t="e">
        <f>SUMIF(Taulukko1[Ikäryhmä],"b)*",Taulukko1[Asiakaskontakti (lkm)])/SUM(Taulukko1[Asiakaskontakti (lkm)])</f>
        <v>#DIV/0!</v>
      </c>
      <c r="M53" s="140" t="s">
        <v>93</v>
      </c>
    </row>
    <row r="54" spans="1:13" x14ac:dyDescent="0.25">
      <c r="A54" s="136" t="s">
        <v>94</v>
      </c>
      <c r="B54" s="71">
        <f>SUMIF(Taulukko1[Ikäryhmä],"c)*",Taulukko1[Tapahtumien määrä])</f>
        <v>0</v>
      </c>
      <c r="C54" s="48" t="e">
        <f>(SUMIF(Taulukko1[Ikäryhmä],"c)*",Taulukko1[Tapahtumien määrä]))/SUM(Taulukko1[Tapahtumien määrä])</f>
        <v>#DIV/0!</v>
      </c>
      <c r="D54" s="71" t="e">
        <f>AVERAGEIF(Taulukko1[Ikäryhmä],"c)*",Taulukko1[Kesto (min) / tapaaminen])</f>
        <v>#DIV/0!</v>
      </c>
      <c r="E54" s="72">
        <f>SUMIF(Taulukko1[Ikäryhmä],"c)*",Taulukko1[Kokonaiskesto (min)])/60</f>
        <v>0</v>
      </c>
      <c r="F54" s="70">
        <f>SUMIF(Taulukko1[Ikäryhmä],"c)*",Taulukko1[Tapaamiskerrat /lapsi])</f>
        <v>0</v>
      </c>
      <c r="G54" s="70">
        <f>SUMIF(Taulukko1[Ikäryhmä],"c)*",Taulukko1[Kävijämäärä a) lapset])</f>
        <v>0</v>
      </c>
      <c r="H54" s="70">
        <f>SUMIF(Taulukko1[Ikäryhmä],"c)*",Taulukko1[Kävijämäärä b) aikuiset])</f>
        <v>0</v>
      </c>
      <c r="I54" s="70">
        <f>SUMIF(Taulukko1[Ikäryhmä],"c)*",Taulukko1[Kokonaiskävijämäärä])</f>
        <v>0</v>
      </c>
      <c r="J54" s="71" t="e">
        <f>AVERAGEIF(Taulukko1[Ikäryhmä],"c)*",Taulukko1[Kokonaiskävijämäärä])</f>
        <v>#DIV/0!</v>
      </c>
      <c r="K54" s="70">
        <f>SUMIF(Taulukko1[Ikäryhmä],"c)*",Taulukko1[Asiakaskontakti (lkm)])</f>
        <v>0</v>
      </c>
      <c r="L54" s="48" t="e">
        <f>SUMIF(Taulukko1[Ikäryhmä],"c)*",Taulukko1[Asiakaskontakti (lkm)])/SUM(Taulukko1[Asiakaskontakti (lkm)])</f>
        <v>#DIV/0!</v>
      </c>
      <c r="M54" s="140" t="s">
        <v>94</v>
      </c>
    </row>
    <row r="55" spans="1:13" x14ac:dyDescent="0.25">
      <c r="A55" s="136" t="s">
        <v>95</v>
      </c>
      <c r="B55" s="71">
        <f>SUMIF(Taulukko1[Ikäryhmä],"d)*",Taulukko1[Tapahtumien määrä])</f>
        <v>0</v>
      </c>
      <c r="C55" s="48" t="e">
        <f>(SUMIF(Taulukko1[Ikäryhmä],"d)*",Taulukko1[Tapahtumien määrä]))/SUM(Taulukko1[Tapahtumien määrä])</f>
        <v>#DIV/0!</v>
      </c>
      <c r="D55" s="71" t="e">
        <f>AVERAGEIF(Taulukko1[Ikäryhmä],"d)*",Taulukko1[Kesto (min) / tapaaminen])</f>
        <v>#DIV/0!</v>
      </c>
      <c r="E55" s="72">
        <f>SUMIF(Taulukko1[Ikäryhmä],"d)*",Taulukko1[Kokonaiskesto (min)])/60</f>
        <v>0</v>
      </c>
      <c r="F55" s="70">
        <f>SUMIF(Taulukko1[Ikäryhmä],"d)*",Taulukko1[Tapaamiskerrat /lapsi])</f>
        <v>0</v>
      </c>
      <c r="G55" s="70">
        <f>SUMIF(Taulukko1[Ikäryhmä],"d)*",Taulukko1[Kävijämäärä a) lapset])</f>
        <v>0</v>
      </c>
      <c r="H55" s="70">
        <f>SUMIF(Taulukko1[Ikäryhmä],"d)*",Taulukko1[Kävijämäärä b) aikuiset])</f>
        <v>0</v>
      </c>
      <c r="I55" s="70">
        <f>SUMIF(Taulukko1[Ikäryhmä],"d)*",Taulukko1[Kokonaiskävijämäärä])</f>
        <v>0</v>
      </c>
      <c r="J55" s="71" t="e">
        <f>AVERAGEIF(Taulukko1[Ikäryhmä],"d)*",Taulukko1[Kokonaiskävijämäärä])</f>
        <v>#DIV/0!</v>
      </c>
      <c r="K55" s="70">
        <f>SUMIF(Taulukko1[Ikäryhmä],"d)*",Taulukko1[Asiakaskontakti (lkm)])</f>
        <v>0</v>
      </c>
      <c r="L55" s="48" t="e">
        <f>SUMIF(Taulukko1[Ikäryhmä],"d)*",Taulukko1[Asiakaskontakti (lkm)])/SUM(Taulukko1[Asiakaskontakti (lkm)])</f>
        <v>#DIV/0!</v>
      </c>
      <c r="M55" s="140" t="s">
        <v>95</v>
      </c>
    </row>
    <row r="56" spans="1:13" x14ac:dyDescent="0.25">
      <c r="A56" s="54" t="s">
        <v>96</v>
      </c>
      <c r="B56" s="71">
        <f>SUMIF(Taulukko1[Ikäryhmä],"e)*",Taulukko1[Tapahtumien määrä])</f>
        <v>0</v>
      </c>
      <c r="C56" s="48" t="e">
        <f>(SUMIF(Taulukko1[Ikäryhmä],"e)*",Taulukko1[Tapahtumien määrä]))/SUM(Taulukko1[Tapahtumien määrä])</f>
        <v>#DIV/0!</v>
      </c>
      <c r="D56" s="71" t="e">
        <f>AVERAGEIF(Taulukko1[Ikäryhmä],"e)*",Taulukko1[Kesto (min) / tapaaminen])</f>
        <v>#DIV/0!</v>
      </c>
      <c r="E56" s="72">
        <f>SUMIF(Taulukko1[Ikäryhmä],"e)*",Taulukko1[Kokonaiskesto (min)])/60</f>
        <v>0</v>
      </c>
      <c r="F56" s="70">
        <f>SUMIF(Taulukko1[Ikäryhmä],"e)*",Taulukko1[Tapaamiskerrat /lapsi])</f>
        <v>0</v>
      </c>
      <c r="G56" s="70">
        <f>SUMIF(Taulukko1[Ikäryhmä],"e)*",Taulukko1[Kävijämäärä a) lapset])</f>
        <v>0</v>
      </c>
      <c r="H56" s="70">
        <f>SUMIF(Taulukko1[Ikäryhmä],"e)*",Taulukko1[Kävijämäärä b) aikuiset])</f>
        <v>0</v>
      </c>
      <c r="I56" s="70">
        <f>SUMIF(Taulukko1[Ikäryhmä],"e)*",Taulukko1[Kokonaiskävijämäärä])</f>
        <v>0</v>
      </c>
      <c r="J56" s="71" t="e">
        <f>AVERAGEIF(Taulukko1[Ikäryhmä],"e)*",Taulukko1[Kokonaiskävijämäärä])</f>
        <v>#DIV/0!</v>
      </c>
      <c r="K56" s="70">
        <f>SUMIF(Taulukko1[Ikäryhmä],"e)*",Taulukko1[Asiakaskontakti (lkm)])</f>
        <v>0</v>
      </c>
      <c r="L56" s="48" t="e">
        <f>SUMIF(Taulukko1[Ikäryhmä],"e)*",Taulukko1[Asiakaskontakti (lkm)])/SUM(Taulukko1[Asiakaskontakti (lkm)])</f>
        <v>#DIV/0!</v>
      </c>
      <c r="M56" s="73" t="s">
        <v>96</v>
      </c>
    </row>
    <row r="57" spans="1:13" x14ac:dyDescent="0.25">
      <c r="A57" s="54" t="s">
        <v>97</v>
      </c>
      <c r="B57" s="71">
        <f>SUMIF(Taulukko1[Ikäryhmä],"f)*",Taulukko1[Tapahtumien määrä])</f>
        <v>0</v>
      </c>
      <c r="C57" s="48" t="e">
        <f>(SUMIF(Taulukko1[Ikäryhmä],"f)*",Taulukko1[Tapahtumien määrä]))/SUM(Taulukko1[Tapahtumien määrä])</f>
        <v>#DIV/0!</v>
      </c>
      <c r="D57" s="71" t="e">
        <f>AVERAGEIF(Taulukko1[Ikäryhmä],"f)*",Taulukko1[Kesto (min) / tapaaminen])</f>
        <v>#DIV/0!</v>
      </c>
      <c r="E57" s="72">
        <f>SUMIF(Taulukko1[Ikäryhmä],"f)*",Taulukko1[Kokonaiskesto (min)])/60</f>
        <v>0</v>
      </c>
      <c r="F57" s="70">
        <f>SUMIF(Taulukko1[Ikäryhmä],"f)*",Taulukko1[Tapaamiskerrat /lapsi])</f>
        <v>0</v>
      </c>
      <c r="G57" s="70">
        <f>SUMIF(Taulukko1[Ikäryhmä],"f)*",Taulukko1[Kävijämäärä a) lapset])</f>
        <v>0</v>
      </c>
      <c r="H57" s="70">
        <f>SUMIF(Taulukko1[Ikäryhmä],"f)*",Taulukko1[Kävijämäärä b) aikuiset])</f>
        <v>0</v>
      </c>
      <c r="I57" s="70">
        <f>SUMIF(Taulukko1[Ikäryhmä],"f)*",Taulukko1[Kokonaiskävijämäärä])</f>
        <v>0</v>
      </c>
      <c r="J57" s="71" t="e">
        <f>AVERAGEIF(Taulukko1[Ikäryhmä],"f)*",Taulukko1[Kokonaiskävijämäärä])</f>
        <v>#DIV/0!</v>
      </c>
      <c r="K57" s="70">
        <f>SUMIF(Taulukko1[Ikäryhmä],"f)*",Taulukko1[Asiakaskontakti (lkm)])</f>
        <v>0</v>
      </c>
      <c r="L57" s="48" t="e">
        <f>SUMIF(Taulukko1[Ikäryhmä],"f)*",Taulukko1[Asiakaskontakti (lkm)])/SUM(Taulukko1[Asiakaskontakti (lkm)])</f>
        <v>#DIV/0!</v>
      </c>
      <c r="M57" s="73" t="s">
        <v>97</v>
      </c>
    </row>
    <row r="58" spans="1:13" x14ac:dyDescent="0.25">
      <c r="A58" s="54" t="s">
        <v>98</v>
      </c>
      <c r="B58" s="71">
        <f>SUMIF(Taulukko1[Ikäryhmä],"g)*",Taulukko1[Tapahtumien määrä])</f>
        <v>0</v>
      </c>
      <c r="C58" s="48" t="e">
        <f>(SUMIF(Taulukko1[Ikäryhmä],"g)*",Taulukko1[Tapahtumien määrä]))/SUM(Taulukko1[Tapahtumien määrä])</f>
        <v>#DIV/0!</v>
      </c>
      <c r="D58" s="71" t="e">
        <f>AVERAGEIF(Taulukko1[Ikäryhmä],"g)*",Taulukko1[Kesto (min) / tapaaminen])</f>
        <v>#DIV/0!</v>
      </c>
      <c r="E58" s="72">
        <f>SUMIF(Taulukko1[Ikäryhmä],"g)*",Taulukko1[Kokonaiskesto (min)])/60</f>
        <v>0</v>
      </c>
      <c r="F58" s="70">
        <f>SUMIF(Taulukko1[Ikäryhmä],"g)*",Taulukko1[Tapaamiskerrat /lapsi])</f>
        <v>0</v>
      </c>
      <c r="G58" s="70">
        <f>SUMIF(Taulukko1[Ikäryhmä],"g)*",Taulukko1[Kävijämäärä a) lapset])</f>
        <v>0</v>
      </c>
      <c r="H58" s="70">
        <f>SUMIF(Taulukko1[Ikäryhmä],"g)*",Taulukko1[Kävijämäärä b) aikuiset])</f>
        <v>0</v>
      </c>
      <c r="I58" s="70">
        <f>SUMIF(Taulukko1[Ikäryhmä],"g)*",Taulukko1[Kokonaiskävijämäärä])</f>
        <v>0</v>
      </c>
      <c r="J58" s="71" t="e">
        <f>AVERAGEIF(Taulukko1[Ikäryhmä],"g)*",Taulukko1[Kokonaiskävijämäärä])</f>
        <v>#DIV/0!</v>
      </c>
      <c r="K58" s="70">
        <f>SUMIF(Taulukko1[Ikäryhmä],"g)*",Taulukko1[Asiakaskontakti (lkm)])</f>
        <v>0</v>
      </c>
      <c r="L58" s="48" t="e">
        <f>SUMIF(Taulukko1[Ikäryhmä],"g)*",Taulukko1[Asiakaskontakti (lkm)])/SUM(Taulukko1[Asiakaskontakti (lkm)])</f>
        <v>#DIV/0!</v>
      </c>
      <c r="M58" s="73" t="s">
        <v>98</v>
      </c>
    </row>
    <row r="59" spans="1:13" x14ac:dyDescent="0.25">
      <c r="A59" s="54" t="s">
        <v>99</v>
      </c>
      <c r="B59" s="71">
        <f>SUMIF(Taulukko1[Ikäryhmä],"h)*",Taulukko1[Tapahtumien määrä])</f>
        <v>0</v>
      </c>
      <c r="C59" s="48" t="e">
        <f>(SUMIF(Taulukko1[Ikäryhmä],"h)*",Taulukko1[Tapahtumien määrä]))/SUM(Taulukko1[Tapahtumien määrä])</f>
        <v>#DIV/0!</v>
      </c>
      <c r="D59" s="71" t="e">
        <f>AVERAGEIF(Taulukko1[Ikäryhmä],"h)*",Taulukko1[Kesto (min) / tapaaminen])</f>
        <v>#DIV/0!</v>
      </c>
      <c r="E59" s="72">
        <f>SUMIF(Taulukko1[Ikäryhmä],"h)*",Taulukko1[Kokonaiskesto (min)])/60</f>
        <v>0</v>
      </c>
      <c r="F59" s="70">
        <f>SUMIF(Taulukko1[Ikäryhmä],"h)*",Taulukko1[Tapaamiskerrat /lapsi])</f>
        <v>0</v>
      </c>
      <c r="G59" s="70">
        <f>SUMIF(Taulukko1[Ikäryhmä],"h)*",Taulukko1[Kävijämäärä a) lapset])</f>
        <v>0</v>
      </c>
      <c r="H59" s="70">
        <f>SUMIF(Taulukko1[Ikäryhmä],"h)*",Taulukko1[Kävijämäärä b) aikuiset])</f>
        <v>0</v>
      </c>
      <c r="I59" s="70">
        <f>SUMIF(Taulukko1[Ikäryhmä],"h)*",Taulukko1[Kokonaiskävijämäärä])</f>
        <v>0</v>
      </c>
      <c r="J59" s="71" t="e">
        <f>AVERAGEIF(Taulukko1[Ikäryhmä],"h)*",Taulukko1[Kokonaiskävijämäärä])</f>
        <v>#DIV/0!</v>
      </c>
      <c r="K59" s="70">
        <f>SUMIF(Taulukko1[Ikäryhmä],"h)*",Taulukko1[Asiakaskontakti (lkm)])</f>
        <v>0</v>
      </c>
      <c r="L59" s="48" t="e">
        <f>SUMIF(Taulukko1[Ikäryhmä],"h)*",Taulukko1[Asiakaskontakti (lkm)])/SUM(Taulukko1[Asiakaskontakti (lkm)])</f>
        <v>#DIV/0!</v>
      </c>
      <c r="M59" s="73" t="s">
        <v>99</v>
      </c>
    </row>
    <row r="60" spans="1:13" x14ac:dyDescent="0.25">
      <c r="A60" s="79" t="s">
        <v>100</v>
      </c>
      <c r="B60" s="71">
        <f>SUMIF(Taulukko1[Ikäryhmä],"i)*",Taulukko1[Tapahtumien määrä])</f>
        <v>0</v>
      </c>
      <c r="C60" s="48" t="e">
        <f>(SUMIF(Taulukko1[Ikäryhmä],"i)*",Taulukko1[Tapahtumien määrä]))/SUM(Taulukko1[Tapahtumien määrä])</f>
        <v>#DIV/0!</v>
      </c>
      <c r="D60" s="71" t="e">
        <f>AVERAGEIF(Taulukko1[Ikäryhmä],"i)*",Taulukko1[Kesto (min) / tapaaminen])</f>
        <v>#DIV/0!</v>
      </c>
      <c r="E60" s="72">
        <f>SUMIF(Taulukko1[Ikäryhmä],"i)*",Taulukko1[Kokonaiskesto (min)])/60</f>
        <v>0</v>
      </c>
      <c r="F60" s="70">
        <f>SUMIF(Taulukko1[Ikäryhmä],"i)*",Taulukko1[Tapaamiskerrat /lapsi])</f>
        <v>0</v>
      </c>
      <c r="G60" s="70">
        <f>SUMIF(Taulukko1[Ikäryhmä],"i)*",Taulukko1[Kävijämäärä a) lapset])</f>
        <v>0</v>
      </c>
      <c r="H60" s="70">
        <f>SUMIF(Taulukko1[Ikäryhmä],"i)*",Taulukko1[Kävijämäärä b) aikuiset])</f>
        <v>0</v>
      </c>
      <c r="I60" s="70">
        <f>SUMIF(Taulukko1[Ikäryhmä],"i)*",Taulukko1[Kokonaiskävijämäärä])</f>
        <v>0</v>
      </c>
      <c r="J60" s="71" t="e">
        <f>AVERAGEIF(Taulukko1[Ikäryhmä],"i)*",Taulukko1[Kokonaiskävijämäärä])</f>
        <v>#DIV/0!</v>
      </c>
      <c r="K60" s="70">
        <f>SUMIF(Taulukko1[Ikäryhmä],"i)*",Taulukko1[Asiakaskontakti (lkm)])</f>
        <v>0</v>
      </c>
      <c r="L60" s="48" t="e">
        <f>SUMIF(Taulukko1[Ikäryhmä],"i)*",Taulukko1[Asiakaskontakti (lkm)])/SUM(Taulukko1[Asiakaskontakti (lkm)])</f>
        <v>#DIV/0!</v>
      </c>
      <c r="M60" s="69" t="s">
        <v>100</v>
      </c>
    </row>
    <row r="61" spans="1:13" x14ac:dyDescent="0.25">
      <c r="A61" s="55" t="s">
        <v>104</v>
      </c>
      <c r="B61" s="71">
        <f>SUMIF(Taulukko1[Ikäryhmä],"j)*",Taulukko1[Tapahtumien määrä])</f>
        <v>0</v>
      </c>
      <c r="C61" s="48" t="e">
        <f>(SUMIF(Taulukko1[Ikäryhmä],"j)*",Taulukko1[Tapahtumien määrä]))/SUM(Taulukko1[Tapahtumien määrä])</f>
        <v>#DIV/0!</v>
      </c>
      <c r="D61" s="71" t="e">
        <f>AVERAGEIF(Taulukko1[Ikäryhmä],"j)*",Taulukko1[Kesto (min) / tapaaminen])</f>
        <v>#DIV/0!</v>
      </c>
      <c r="E61" s="72">
        <f>SUMIF(Taulukko1[Ikäryhmä],"j)*",Taulukko1[Kokonaiskesto (min)])/60</f>
        <v>0</v>
      </c>
      <c r="F61" s="70">
        <f>SUMIF(Taulukko1[Ikäryhmä],"j)*",Taulukko1[Tapaamiskerrat /lapsi])</f>
        <v>0</v>
      </c>
      <c r="G61" s="70">
        <f>SUMIF(Taulukko1[Ikäryhmä],"j)*",Taulukko1[Kävijämäärä a) lapset])</f>
        <v>0</v>
      </c>
      <c r="H61" s="70">
        <f>SUMIF(Taulukko1[Ikäryhmä],"j)*",Taulukko1[Kävijämäärä b) aikuiset])</f>
        <v>0</v>
      </c>
      <c r="I61" s="70">
        <f>SUMIF(Taulukko1[Ikäryhmä],"j)*",Taulukko1[Kokonaiskävijämäärä])</f>
        <v>0</v>
      </c>
      <c r="J61" s="71" t="e">
        <f>AVERAGEIF(Taulukko1[Ikäryhmä],"j)*",Taulukko1[Kokonaiskävijämäärä])</f>
        <v>#DIV/0!</v>
      </c>
      <c r="K61" s="70">
        <f>SUMIF(Taulukko1[Ikäryhmä],"j)*",Taulukko1[Asiakaskontakti (lkm)])</f>
        <v>0</v>
      </c>
      <c r="L61" s="48" t="e">
        <f>SUMIF(Taulukko1[Ikäryhmä],"j)*",Taulukko1[Asiakaskontakti (lkm)])/SUM(Taulukko1[Asiakaskontakti (lkm)])</f>
        <v>#DIV/0!</v>
      </c>
      <c r="M61" s="80" t="s">
        <v>104</v>
      </c>
    </row>
    <row r="62" spans="1:13" x14ac:dyDescent="0.25">
      <c r="A62" s="55" t="s">
        <v>101</v>
      </c>
      <c r="B62" s="71">
        <f>SUMIF(Taulukko1[Ikäryhmä],"k)*",Taulukko1[Tapahtumien määrä])</f>
        <v>0</v>
      </c>
      <c r="C62" s="48" t="e">
        <f>(SUMIF(Taulukko1[Ikäryhmä],"k)*",Taulukko1[Tapahtumien määrä]))/SUM(Taulukko1[Tapahtumien määrä])</f>
        <v>#DIV/0!</v>
      </c>
      <c r="D62" s="71" t="e">
        <f>AVERAGEIF(Taulukko1[Ikäryhmä],"k)*",Taulukko1[Kesto (min) / tapaaminen])</f>
        <v>#DIV/0!</v>
      </c>
      <c r="E62" s="72">
        <f>SUMIF(Taulukko1[Ikäryhmä],"k)*",Taulukko1[Kokonaiskesto (min)])/60</f>
        <v>0</v>
      </c>
      <c r="F62" s="70">
        <f>SUMIF(Taulukko1[Ikäryhmä],"k)*",Taulukko1[Tapaamiskerrat /lapsi])</f>
        <v>0</v>
      </c>
      <c r="G62" s="70">
        <f>SUMIF(Taulukko1[Ikäryhmä],"k)*",Taulukko1[Kävijämäärä a) lapset])</f>
        <v>0</v>
      </c>
      <c r="H62" s="70">
        <f>SUMIF(Taulukko1[Ikäryhmä],"k)*",Taulukko1[Kävijämäärä b) aikuiset])</f>
        <v>0</v>
      </c>
      <c r="I62" s="70">
        <f>SUMIF(Taulukko1[Ikäryhmä],"k)*",Taulukko1[Kokonaiskävijämäärä])</f>
        <v>0</v>
      </c>
      <c r="J62" s="71" t="e">
        <f>AVERAGEIF(Taulukko1[Ikäryhmä],"k)*",Taulukko1[Kokonaiskävijämäärä])</f>
        <v>#DIV/0!</v>
      </c>
      <c r="K62" s="70">
        <f>SUMIF(Taulukko1[Ikäryhmä],"k)*",Taulukko1[Asiakaskontakti (lkm)])</f>
        <v>0</v>
      </c>
      <c r="L62" s="48" t="e">
        <f>SUMIF(Taulukko1[Ikäryhmä],"k)*",Taulukko1[Asiakaskontakti (lkm)])/SUM(Taulukko1[Asiakaskontakti (lkm)])</f>
        <v>#DIV/0!</v>
      </c>
      <c r="M62" s="80" t="s">
        <v>101</v>
      </c>
    </row>
    <row r="63" spans="1:13" x14ac:dyDescent="0.25">
      <c r="A63" s="55" t="s">
        <v>102</v>
      </c>
      <c r="B63" s="71">
        <f>SUMIF(Taulukko1[Ikäryhmä],"l)*",Taulukko1[Tapahtumien määrä])</f>
        <v>0</v>
      </c>
      <c r="C63" s="48" t="e">
        <f>(SUMIF(Taulukko1[Ikäryhmä],"l)*",Taulukko1[Tapahtumien määrä]))/SUM(Taulukko1[Tapahtumien määrä])</f>
        <v>#DIV/0!</v>
      </c>
      <c r="D63" s="71" t="e">
        <f>AVERAGEIF(Taulukko1[Ikäryhmä],"l)*",Taulukko1[Kesto (min) / tapaaminen])</f>
        <v>#DIV/0!</v>
      </c>
      <c r="E63" s="72">
        <f>SUMIF(Taulukko1[Ikäryhmä],"l)*",Taulukko1[Kokonaiskesto (min)])/60</f>
        <v>0</v>
      </c>
      <c r="F63" s="70">
        <f>SUMIF(Taulukko1[Ikäryhmä],"l)*",Taulukko1[Tapaamiskerrat /lapsi])</f>
        <v>0</v>
      </c>
      <c r="G63" s="70">
        <f>SUMIF(Taulukko1[Ikäryhmä],"l)*",Taulukko1[Kävijämäärä a) lapset])</f>
        <v>0</v>
      </c>
      <c r="H63" s="70">
        <f>SUMIF(Taulukko1[Ikäryhmä],"l)*",Taulukko1[Kävijämäärä b) aikuiset])</f>
        <v>0</v>
      </c>
      <c r="I63" s="70">
        <f>SUMIF(Taulukko1[Ikäryhmä],"l)*",Taulukko1[Kokonaiskävijämäärä])</f>
        <v>0</v>
      </c>
      <c r="J63" s="71" t="e">
        <f>AVERAGEIF(Taulukko1[Ikäryhmä],"l)*",Taulukko1[Kokonaiskävijämäärä])</f>
        <v>#DIV/0!</v>
      </c>
      <c r="K63" s="70">
        <f>SUMIF(Taulukko1[Ikäryhmä],"l)*",Taulukko1[Asiakaskontakti (lkm)])</f>
        <v>0</v>
      </c>
      <c r="L63" s="48" t="e">
        <f>SUMIF(Taulukko1[Ikäryhmä],"l)*",Taulukko1[Asiakaskontakti (lkm)])/SUM(Taulukko1[Asiakaskontakti (lkm)])</f>
        <v>#DIV/0!</v>
      </c>
      <c r="M63" s="80" t="s">
        <v>102</v>
      </c>
    </row>
    <row r="64" spans="1:13" x14ac:dyDescent="0.25">
      <c r="A64" s="55" t="s">
        <v>194</v>
      </c>
      <c r="B64" s="71">
        <f>SUMIF(Taulukko1[Ikäryhmä],"m)*",Taulukko1[Tapahtumien määrä])</f>
        <v>0</v>
      </c>
      <c r="C64" s="48" t="e">
        <f>(SUMIF(Taulukko1[Ikäryhmä],"m)*",Taulukko1[Tapahtumien määrä]))/SUM(Taulukko1[Tapahtumien määrä])</f>
        <v>#DIV/0!</v>
      </c>
      <c r="D64" s="71" t="e">
        <f>AVERAGEIF(Taulukko1[Ikäryhmä],"m)*",Taulukko1[Kesto (min) / tapaaminen])</f>
        <v>#DIV/0!</v>
      </c>
      <c r="E64" s="72">
        <f>SUMIF(Taulukko1[Ikäryhmä],"m)*",Taulukko1[Kokonaiskesto (min)])/60</f>
        <v>0</v>
      </c>
      <c r="F64" s="70">
        <f>SUMIF(Taulukko1[Ikäryhmä],"m)*",Taulukko1[Tapaamiskerrat /lapsi])</f>
        <v>0</v>
      </c>
      <c r="G64" s="70">
        <f>SUMIF(Taulukko1[Ikäryhmä],"m)*",Taulukko1[Kävijämäärä a) lapset])</f>
        <v>0</v>
      </c>
      <c r="H64" s="70">
        <f>SUMIF(Taulukko1[Ikäryhmä],"m)*",Taulukko1[Kävijämäärä b) aikuiset])</f>
        <v>0</v>
      </c>
      <c r="I64" s="70">
        <f>SUMIF(Taulukko1[Ikäryhmä],"m)*",Taulukko1[Kokonaiskävijämäärä])</f>
        <v>0</v>
      </c>
      <c r="J64" s="71" t="e">
        <f>AVERAGEIF(Taulukko1[Ikäryhmä],"m)*",Taulukko1[Kokonaiskävijämäärä])</f>
        <v>#DIV/0!</v>
      </c>
      <c r="K64" s="70">
        <f>SUMIF(Taulukko1[Ikäryhmä],"m)*",Taulukko1[Asiakaskontakti (lkm)])</f>
        <v>0</v>
      </c>
      <c r="L64" s="48" t="e">
        <f>SUMIF(Taulukko1[Ikäryhmä],"m)*",Taulukko1[Asiakaskontakti (lkm)])/SUM(Taulukko1[Asiakaskontakti (lkm)])</f>
        <v>#DIV/0!</v>
      </c>
      <c r="M64" s="80" t="s">
        <v>103</v>
      </c>
    </row>
    <row r="65" spans="1:13" x14ac:dyDescent="0.25">
      <c r="A65" s="137" t="s">
        <v>41</v>
      </c>
      <c r="B65" s="77" t="s">
        <v>68</v>
      </c>
      <c r="C65" s="77"/>
      <c r="D65" s="77"/>
      <c r="M65" s="139"/>
    </row>
    <row r="66" spans="1:13" x14ac:dyDescent="0.25">
      <c r="A66" s="79" t="s">
        <v>72</v>
      </c>
      <c r="B66" s="71">
        <f>SUMIF(Taulukko1[ERITYISRYHMÄT],"a)*",Taulukko1[Tapahtumien määrä])</f>
        <v>0</v>
      </c>
      <c r="C66" s="48" t="e">
        <f>(SUMIF(Taulukko1[ERITYISRYHMÄT],"a)*",Taulukko1[Tapahtumien määrä]))/SUM(Taulukko1[Tapahtumien määrä])</f>
        <v>#DIV/0!</v>
      </c>
      <c r="D66" s="71" t="e">
        <f>AVERAGEIF(Taulukko1[ERITYISRYHMÄT],"a)*",Taulukko1[Kesto (min) / tapaaminen])</f>
        <v>#DIV/0!</v>
      </c>
      <c r="E66" s="72">
        <f>SUMIF(Taulukko1[ERITYISRYHMÄT],"a)*",Taulukko1[Kokonaiskesto (min)])/60</f>
        <v>0</v>
      </c>
      <c r="F66" s="70">
        <f>SUMIF(Taulukko1[ERITYISRYHMÄT],"a)*",Taulukko1[Tapaamiskerrat /lapsi])</f>
        <v>0</v>
      </c>
      <c r="G66" s="70">
        <f>SUMIF(Taulukko1[ERITYISRYHMÄT],"a)*",Taulukko1[Kävijämäärä a) lapset])</f>
        <v>0</v>
      </c>
      <c r="H66" s="70">
        <f>SUMIF(Taulukko1[ERITYISRYHMÄT],"a)*",Taulukko1[Kävijämäärä b) aikuiset])</f>
        <v>0</v>
      </c>
      <c r="I66" s="70">
        <f>SUMIF(Taulukko1[ERITYISRYHMÄT],"a)*",Taulukko1[Kokonaiskävijämäärä])</f>
        <v>0</v>
      </c>
      <c r="J66" s="71" t="e">
        <f>AVERAGEIF(Taulukko1[ERITYISRYHMÄT],"a)*",Taulukko1[Kokonaiskävijämäärä])</f>
        <v>#DIV/0!</v>
      </c>
      <c r="K66" s="70">
        <f>SUMIF(Taulukko1[ERITYISRYHMÄT],"b)*",Taulukko1[Asiakaskontakti (lkm)])</f>
        <v>0</v>
      </c>
      <c r="L66" s="48" t="e">
        <f>SUMIF(Taulukko1[ERITYISRYHMÄT],"a)*",Taulukko1[Asiakaskontakti (lkm)])/SUM(Taulukko1[Asiakaskontakti (lkm)])</f>
        <v>#DIV/0!</v>
      </c>
      <c r="M66" s="141" t="s">
        <v>72</v>
      </c>
    </row>
    <row r="67" spans="1:13" x14ac:dyDescent="0.25">
      <c r="A67" s="79" t="s">
        <v>73</v>
      </c>
      <c r="B67" s="71">
        <f>SUMIF(Taulukko1[ERITYISRYHMÄT],"b)*",Taulukko1[Tapahtumien määrä])</f>
        <v>0</v>
      </c>
      <c r="C67" s="48" t="e">
        <f>(SUMIF(Taulukko1[ERITYISRYHMÄT],"b)*",Taulukko1[Tapahtumien määrä]))/SUM(Taulukko1[Tapahtumien määrä])</f>
        <v>#DIV/0!</v>
      </c>
      <c r="D67" s="71" t="e">
        <f>AVERAGEIF(Taulukko1[ERITYISRYHMÄT],"b)*",Taulukko1[Kesto (min) / tapaaminen])</f>
        <v>#DIV/0!</v>
      </c>
      <c r="E67" s="72">
        <f>SUMIF(Taulukko1[ERITYISRYHMÄT],"b)*",Taulukko1[Kokonaiskesto (min)])/60</f>
        <v>0</v>
      </c>
      <c r="F67" s="70">
        <f>SUMIF(Taulukko1[ERITYISRYHMÄT],"b)*",Taulukko1[Tapaamiskerrat /lapsi])</f>
        <v>0</v>
      </c>
      <c r="G67" s="70">
        <f>SUMIF(Taulukko1[ERITYISRYHMÄT],"b)*",Taulukko1[Kävijämäärä a) lapset])</f>
        <v>0</v>
      </c>
      <c r="H67" s="70">
        <f>SUMIF(Taulukko1[ERITYISRYHMÄT],"b)*",Taulukko1[Kävijämäärä b) aikuiset])</f>
        <v>0</v>
      </c>
      <c r="I67" s="70">
        <f>SUMIF(Taulukko1[ERITYISRYHMÄT],"b)*",Taulukko1[Kokonaiskävijämäärä])</f>
        <v>0</v>
      </c>
      <c r="J67" s="71" t="e">
        <f>AVERAGEIF(Taulukko1[ERITYISRYHMÄT],"b)*",Taulukko1[Kokonaiskävijämäärä])</f>
        <v>#DIV/0!</v>
      </c>
      <c r="K67" s="70">
        <f>SUMIF(Taulukko1[ERITYISRYHMÄT],"c)*",Taulukko1[Asiakaskontakti (lkm)])</f>
        <v>0</v>
      </c>
      <c r="L67" s="48" t="e">
        <f>SUMIF(Taulukko1[ERITYISRYHMÄT],"b)*",Taulukko1[Asiakaskontakti (lkm)])/SUM(Taulukko1[Asiakaskontakti (lkm)])</f>
        <v>#DIV/0!</v>
      </c>
      <c r="M67" s="141" t="s">
        <v>73</v>
      </c>
    </row>
    <row r="68" spans="1:13" x14ac:dyDescent="0.25">
      <c r="A68" s="79" t="s">
        <v>74</v>
      </c>
      <c r="B68" s="71">
        <f>SUMIF(Taulukko1[ERITYISRYHMÄT],"c)*",Taulukko1[Tapahtumien määrä])</f>
        <v>0</v>
      </c>
      <c r="C68" s="48" t="e">
        <f>(SUMIF(Taulukko1[ERITYISRYHMÄT],"c)*",Taulukko1[Tapahtumien määrä]))/SUM(Taulukko1[Tapahtumien määrä])</f>
        <v>#DIV/0!</v>
      </c>
      <c r="D68" s="71" t="e">
        <f>AVERAGEIF(Taulukko1[ERITYISRYHMÄT],"c)*",Taulukko1[Kesto (min) / tapaaminen])</f>
        <v>#DIV/0!</v>
      </c>
      <c r="E68" s="72">
        <f>SUMIF(Taulukko1[ERITYISRYHMÄT],"c)*",Taulukko1[Kokonaiskesto (min)])/60</f>
        <v>0</v>
      </c>
      <c r="F68" s="70">
        <f>SUMIF(Taulukko1[ERITYISRYHMÄT],"c)*",Taulukko1[Tapaamiskerrat /lapsi])</f>
        <v>0</v>
      </c>
      <c r="G68" s="70">
        <f>SUMIF(Taulukko1[ERITYISRYHMÄT],"c)*",Taulukko1[Kävijämäärä a) lapset])</f>
        <v>0</v>
      </c>
      <c r="H68" s="70">
        <f>SUMIF(Taulukko1[ERITYISRYHMÄT],"c)*",Taulukko1[Kävijämäärä b) aikuiset])</f>
        <v>0</v>
      </c>
      <c r="I68" s="70">
        <f>SUMIF(Taulukko1[ERITYISRYHMÄT],"c)*",Taulukko1[Kokonaiskävijämäärä])</f>
        <v>0</v>
      </c>
      <c r="J68" s="71" t="e">
        <f>AVERAGEIF(Taulukko1[ERITYISRYHMÄT],"c)*",Taulukko1[Kokonaiskävijämäärä])</f>
        <v>#DIV/0!</v>
      </c>
      <c r="K68" s="70">
        <f>SUMIF(Taulukko1[ERITYISRYHMÄT],"c)*",Taulukko1[Asiakaskontakti (lkm)])</f>
        <v>0</v>
      </c>
      <c r="L68" s="48" t="e">
        <f>SUMIF(Taulukko1[ERITYISRYHMÄT],"c)*",Taulukko1[Asiakaskontakti (lkm)])/SUM(Taulukko1[Asiakaskontakti (lkm)])</f>
        <v>#DIV/0!</v>
      </c>
      <c r="M68" s="141" t="s">
        <v>74</v>
      </c>
    </row>
    <row r="69" spans="1:13" x14ac:dyDescent="0.25">
      <c r="A69" s="52" t="s">
        <v>41</v>
      </c>
      <c r="B69" s="77" t="s">
        <v>121</v>
      </c>
      <c r="M69" s="139"/>
    </row>
    <row r="70" spans="1:13" x14ac:dyDescent="0.25">
      <c r="A70" s="55" t="s">
        <v>109</v>
      </c>
      <c r="B70" s="71">
        <f>SUMIF(Taulukko1[KIELI],"a)*",Taulukko1[Tapahtumien määrä])</f>
        <v>0</v>
      </c>
      <c r="C70" s="48" t="e">
        <f>(SUMIF(Taulukko1[KIELI],"a)*",Taulukko1[Tapahtumien määrä]))/SUM(Taulukko1[Tapahtumien määrä])</f>
        <v>#DIV/0!</v>
      </c>
      <c r="D70" s="71" t="e">
        <f>AVERAGEIF(Taulukko1[KIELI],"a)*",Taulukko1[Kesto (min) / tapaaminen])</f>
        <v>#DIV/0!</v>
      </c>
      <c r="E70" s="72">
        <f>SUMIF(Taulukko1[KIELI],"a)*",Taulukko1[Kokonaiskesto (min)])/60</f>
        <v>0</v>
      </c>
      <c r="F70" s="70">
        <f>SUMIF(Taulukko1[KIELI],"a)*",Taulukko1[Tapaamiskerrat /lapsi])</f>
        <v>0</v>
      </c>
      <c r="G70" s="70">
        <f>SUMIF(Taulukko1[KIELI],"a)*",Taulukko1[Kävijämäärä a) lapset])</f>
        <v>0</v>
      </c>
      <c r="H70" s="70">
        <f>SUMIF(Taulukko1[KIELI],"a)*",Taulukko1[Kävijämäärä b) aikuiset])</f>
        <v>0</v>
      </c>
      <c r="I70" s="70">
        <f>SUMIF(Taulukko1[KIELI],"a)*",Taulukko1[Kokonaiskävijämäärä])</f>
        <v>0</v>
      </c>
      <c r="J70" s="71" t="e">
        <f>AVERAGEIF(Taulukko1[KIELI],"a)*",Taulukko1[Kokonaiskävijämäärä])</f>
        <v>#DIV/0!</v>
      </c>
      <c r="K70" s="70">
        <f>SUMIF(Taulukko1[KIELI],"a)*",Taulukko1[Asiakaskontakti (lkm)])</f>
        <v>0</v>
      </c>
      <c r="L70" s="48" t="e">
        <f>SUMIF(Taulukko1[KIELI],"a)*",Taulukko1[Asiakaskontakti (lkm)])/SUM(Taulukko1[Asiakaskontakti (lkm)])</f>
        <v>#DIV/0!</v>
      </c>
      <c r="M70" s="69" t="s">
        <v>109</v>
      </c>
    </row>
    <row r="71" spans="1:13" x14ac:dyDescent="0.25">
      <c r="A71" s="55" t="s">
        <v>110</v>
      </c>
      <c r="B71" s="71">
        <f>SUMIF(Taulukko1[KIELI],"b)*",Taulukko1[Tapahtumien määrä])</f>
        <v>0</v>
      </c>
      <c r="C71" s="48" t="e">
        <f>(SUMIF(Taulukko1[KIELI],"b)*",Taulukko1[Tapahtumien määrä]))/SUM(Taulukko1[Tapahtumien määrä])</f>
        <v>#DIV/0!</v>
      </c>
      <c r="D71" s="71" t="e">
        <f>AVERAGEIF(Taulukko1[KIELI],"b)*",Taulukko1[Kesto (min) / tapaaminen])</f>
        <v>#DIV/0!</v>
      </c>
      <c r="E71" s="72">
        <f>SUMIF(Taulukko1[KIELI],"b)*",Taulukko1[Kokonaiskesto (min)])/60</f>
        <v>0</v>
      </c>
      <c r="F71" s="70">
        <f>SUMIF(Taulukko1[KIELI],"b)*",Taulukko1[Tapaamiskerrat /lapsi])</f>
        <v>0</v>
      </c>
      <c r="G71" s="70">
        <f>SUMIF(Taulukko1[KIELI],"b)*",Taulukko1[Kävijämäärä a) lapset])</f>
        <v>0</v>
      </c>
      <c r="H71" s="70">
        <f>SUMIF(Taulukko1[KIELI],"b)*",Taulukko1[Kävijämäärä b) aikuiset])</f>
        <v>0</v>
      </c>
      <c r="I71" s="70">
        <f>SUMIF(Taulukko1[KIELI],"b)*",Taulukko1[Kokonaiskävijämäärä])</f>
        <v>0</v>
      </c>
      <c r="J71" s="71" t="e">
        <f>AVERAGEIF(Taulukko1[KIELI],"b)*",Taulukko1[Kokonaiskävijämäärä])</f>
        <v>#DIV/0!</v>
      </c>
      <c r="K71" s="70">
        <f>SUMIF(Taulukko1[KIELI],"b)*",Taulukko1[Asiakaskontakti (lkm)])</f>
        <v>0</v>
      </c>
      <c r="L71" s="48" t="e">
        <f>SUMIF(Taulukko1[KIELI],"b)*",Taulukko1[Asiakaskontakti (lkm)])/SUM(Taulukko1[Asiakaskontakti (lkm)])</f>
        <v>#DIV/0!</v>
      </c>
      <c r="M71" s="69" t="s">
        <v>110</v>
      </c>
    </row>
    <row r="72" spans="1:13" x14ac:dyDescent="0.25">
      <c r="A72" s="55" t="s">
        <v>111</v>
      </c>
      <c r="B72" s="71">
        <f>SUMIF(Taulukko1[KIELI],"c)*",Taulukko1[Tapahtumien määrä])</f>
        <v>0</v>
      </c>
      <c r="C72" s="48" t="e">
        <f>(SUMIF(Taulukko1[KIELI],"c)*",Taulukko1[Tapahtumien määrä]))/SUM(Taulukko1[Tapahtumien määrä])</f>
        <v>#DIV/0!</v>
      </c>
      <c r="D72" s="71" t="e">
        <f>AVERAGEIF(Taulukko1[KIELI],"c)*",Taulukko1[Kesto (min) / tapaaminen])</f>
        <v>#DIV/0!</v>
      </c>
      <c r="E72" s="72">
        <f>SUMIF(Taulukko1[KIELI],"c)*",Taulukko1[Kokonaiskesto (min)])/60</f>
        <v>0</v>
      </c>
      <c r="F72" s="70">
        <f>SUMIF(Taulukko1[KIELI],"c)*",Taulukko1[Tapaamiskerrat /lapsi])</f>
        <v>0</v>
      </c>
      <c r="G72" s="70">
        <f>SUMIF(Taulukko1[KIELI],"c)*",Taulukko1[Kävijämäärä a) lapset])</f>
        <v>0</v>
      </c>
      <c r="H72" s="70">
        <f>SUMIF(Taulukko1[KIELI],"c)*",Taulukko1[Kävijämäärä b) aikuiset])</f>
        <v>0</v>
      </c>
      <c r="I72" s="70">
        <f>SUMIF(Taulukko1[KIELI],"c)*",Taulukko1[Kokonaiskävijämäärä])</f>
        <v>0</v>
      </c>
      <c r="J72" s="71" t="e">
        <f>AVERAGEIF(Taulukko1[KIELI],"c)*",Taulukko1[Kokonaiskävijämäärä])</f>
        <v>#DIV/0!</v>
      </c>
      <c r="K72" s="70">
        <f>SUMIF(Taulukko1[KIELI],"c)*",Taulukko1[Asiakaskontakti (lkm)])</f>
        <v>0</v>
      </c>
      <c r="L72" s="48" t="e">
        <f>SUMIF(Taulukko1[KIELI],"c)*",Taulukko1[Asiakaskontakti (lkm)])/SUM(Taulukko1[Asiakaskontakti (lkm)])</f>
        <v>#DIV/0!</v>
      </c>
      <c r="M72" s="69" t="s">
        <v>111</v>
      </c>
    </row>
    <row r="73" spans="1:13" x14ac:dyDescent="0.25">
      <c r="A73" s="55" t="s">
        <v>112</v>
      </c>
      <c r="B73" s="71">
        <f>SUMIF(Taulukko1[KIELI],"d)*",Taulukko1[Tapahtumien määrä])</f>
        <v>0</v>
      </c>
      <c r="C73" s="48" t="e">
        <f>(SUMIF(Taulukko1[KIELI],"d)*",Taulukko1[Tapahtumien määrä]))/SUM(Taulukko1[Tapahtumien määrä])</f>
        <v>#DIV/0!</v>
      </c>
      <c r="D73" s="71" t="e">
        <f>AVERAGEIF(Taulukko1[KIELI],"d)*",Taulukko1[Kesto (min) / tapaaminen])</f>
        <v>#DIV/0!</v>
      </c>
      <c r="E73" s="72">
        <f>SUMIF(Taulukko1[KIELI],"d)*",Taulukko1[Kokonaiskesto (min)])/60</f>
        <v>0</v>
      </c>
      <c r="F73" s="70">
        <f>SUMIF(Taulukko1[KIELI],"d)*",Taulukko1[Tapaamiskerrat /lapsi])</f>
        <v>0</v>
      </c>
      <c r="G73" s="70">
        <f>SUMIF(Taulukko1[KIELI],"d)*",Taulukko1[Kävijämäärä a) lapset])</f>
        <v>0</v>
      </c>
      <c r="H73" s="70">
        <f>SUMIF(Taulukko1[KIELI],"d)*",Taulukko1[Kävijämäärä b) aikuiset])</f>
        <v>0</v>
      </c>
      <c r="I73" s="70">
        <f>SUMIF(Taulukko1[KIELI],"d)*",Taulukko1[Kokonaiskävijämäärä])</f>
        <v>0</v>
      </c>
      <c r="J73" s="71" t="e">
        <f>AVERAGEIF(Taulukko1[KIELI],"d)*",Taulukko1[Kokonaiskävijämäärä])</f>
        <v>#DIV/0!</v>
      </c>
      <c r="K73" s="70">
        <f>SUMIF(Taulukko1[KIELI],"d)*",Taulukko1[Asiakaskontakti (lkm)])</f>
        <v>0</v>
      </c>
      <c r="L73" s="48" t="e">
        <f>SUMIF(Taulukko1[KIELI],"d)*",Taulukko1[Asiakaskontakti (lkm)])/SUM(Taulukko1[Asiakaskontakti (lkm)])</f>
        <v>#DIV/0!</v>
      </c>
      <c r="M73" s="69" t="s">
        <v>112</v>
      </c>
    </row>
    <row r="74" spans="1:13" x14ac:dyDescent="0.25">
      <c r="A74" s="55" t="s">
        <v>113</v>
      </c>
      <c r="B74" s="71">
        <f>SUMIF(Taulukko1[KIELI],"e)*",Taulukko1[Tapahtumien määrä])</f>
        <v>0</v>
      </c>
      <c r="C74" s="48" t="e">
        <f>(SUMIF(Taulukko1[KIELI],"e)*",Taulukko1[Tapahtumien määrä]))/SUM(Taulukko1[Tapahtumien määrä])</f>
        <v>#DIV/0!</v>
      </c>
      <c r="D74" s="71" t="e">
        <f>AVERAGEIF(Taulukko1[KIELI],"e)*",Taulukko1[Kesto (min) / tapaaminen])</f>
        <v>#DIV/0!</v>
      </c>
      <c r="E74" s="72">
        <f>SUMIF(Taulukko1[KIELI],"e)*",Taulukko1[Kokonaiskesto (min)])/60</f>
        <v>0</v>
      </c>
      <c r="F74" s="70">
        <f>SUMIF(Taulukko1[KIELI],"e)*",Taulukko1[Tapaamiskerrat /lapsi])</f>
        <v>0</v>
      </c>
      <c r="G74" s="70">
        <f>SUMIF(Taulukko1[KIELI],"e)*",Taulukko1[Kävijämäärä a) lapset])</f>
        <v>0</v>
      </c>
      <c r="H74" s="70">
        <f>SUMIF(Taulukko1[KIELI],"e)*",Taulukko1[Kävijämäärä b) aikuiset])</f>
        <v>0</v>
      </c>
      <c r="I74" s="70">
        <f>SUMIF(Taulukko1[KIELI],"e)*",Taulukko1[Kokonaiskävijämäärä])</f>
        <v>0</v>
      </c>
      <c r="J74" s="71" t="e">
        <f>AVERAGEIF(Taulukko1[KIELI],"e)*",Taulukko1[Kokonaiskävijämäärä])</f>
        <v>#DIV/0!</v>
      </c>
      <c r="K74" s="70">
        <f>SUMIF(Taulukko1[KIELI],"e)*",Taulukko1[Asiakaskontakti (lkm)])</f>
        <v>0</v>
      </c>
      <c r="L74" s="48" t="e">
        <f>SUMIF(Taulukko1[KIELI],"e)*",Taulukko1[Asiakaskontakti (lkm)])/SUM(Taulukko1[Asiakaskontakti (lkm)])</f>
        <v>#DIV/0!</v>
      </c>
      <c r="M74" s="69" t="s">
        <v>113</v>
      </c>
    </row>
    <row r="75" spans="1:13" x14ac:dyDescent="0.25">
      <c r="A75" s="55" t="s">
        <v>114</v>
      </c>
      <c r="B75" s="71">
        <f>SUMIF(Taulukko1[KIELI],"f)*",Taulukko1[Tapahtumien määrä])</f>
        <v>0</v>
      </c>
      <c r="C75" s="48" t="e">
        <f>(SUMIF(Taulukko1[KIELI],"f)*",Taulukko1[Tapahtumien määrä]))/SUM(Taulukko1[Tapahtumien määrä])</f>
        <v>#DIV/0!</v>
      </c>
      <c r="D75" s="71" t="e">
        <f>AVERAGEIF(Taulukko1[KIELI],"f)*",Taulukko1[Kesto (min) / tapaaminen])</f>
        <v>#DIV/0!</v>
      </c>
      <c r="E75" s="72">
        <f>SUMIF(Taulukko1[KIELI],"f)*",Taulukko1[Kokonaiskesto (min)])/60</f>
        <v>0</v>
      </c>
      <c r="F75" s="70">
        <f>SUMIF(Taulukko1[KIELI],"f)*",Taulukko1[Tapaamiskerrat /lapsi])</f>
        <v>0</v>
      </c>
      <c r="G75" s="70">
        <f>SUMIF(Taulukko1[KIELI],"f)*",Taulukko1[Kävijämäärä a) lapset])</f>
        <v>0</v>
      </c>
      <c r="H75" s="70">
        <f>SUMIF(Taulukko1[KIELI],"f)*",Taulukko1[Kävijämäärä b) aikuiset])</f>
        <v>0</v>
      </c>
      <c r="I75" s="70">
        <f>SUMIF(Taulukko1[KIELI],"f)*",Taulukko1[Kokonaiskävijämäärä])</f>
        <v>0</v>
      </c>
      <c r="J75" s="71" t="e">
        <f>AVERAGEIF(Taulukko1[KIELI],"f)*",Taulukko1[Kokonaiskävijämäärä])</f>
        <v>#DIV/0!</v>
      </c>
      <c r="K75" s="70">
        <f>SUMIF(Taulukko1[KIELI],"f)*",Taulukko1[Asiakaskontakti (lkm)])</f>
        <v>0</v>
      </c>
      <c r="L75" s="48" t="e">
        <f>SUMIF(Taulukko1[KIELI],"f)*",Taulukko1[Asiakaskontakti (lkm)])/SUM(Taulukko1[Asiakaskontakti (lkm)])</f>
        <v>#DIV/0!</v>
      </c>
      <c r="M75" s="69" t="s">
        <v>114</v>
      </c>
    </row>
    <row r="76" spans="1:13" x14ac:dyDescent="0.25">
      <c r="A76" s="55" t="s">
        <v>115</v>
      </c>
      <c r="B76" s="71">
        <f>SUMIF(Taulukko1[KIELI],"g)*",Taulukko1[Tapahtumien määrä])</f>
        <v>0</v>
      </c>
      <c r="C76" s="48" t="e">
        <f>(SUMIF(Taulukko1[KIELI],"g)*",Taulukko1[Tapahtumien määrä]))/SUM(Taulukko1[Tapahtumien määrä])</f>
        <v>#DIV/0!</v>
      </c>
      <c r="D76" s="71" t="e">
        <f>AVERAGEIF(Taulukko1[KIELI],"g)*",Taulukko1[Kesto (min) / tapaaminen])</f>
        <v>#DIV/0!</v>
      </c>
      <c r="E76" s="72">
        <f>SUMIF(Taulukko1[KIELI],"g)*",Taulukko1[Kokonaiskesto (min)])/60</f>
        <v>0</v>
      </c>
      <c r="F76" s="70">
        <f>SUMIF(Taulukko1[KIELI],"g)*",Taulukko1[Tapaamiskerrat /lapsi])</f>
        <v>0</v>
      </c>
      <c r="G76" s="70">
        <f>SUMIF(Taulukko1[KIELI],"g)*",Taulukko1[Kävijämäärä a) lapset])</f>
        <v>0</v>
      </c>
      <c r="H76" s="70">
        <f>SUMIF(Taulukko1[KIELI],"g)*",Taulukko1[Kävijämäärä b) aikuiset])</f>
        <v>0</v>
      </c>
      <c r="I76" s="70">
        <f>SUMIF(Taulukko1[KIELI],"g)*",Taulukko1[Kokonaiskävijämäärä])</f>
        <v>0</v>
      </c>
      <c r="J76" s="71" t="e">
        <f>AVERAGEIF(Taulukko1[KIELI],"g)*",Taulukko1[Kokonaiskävijämäärä])</f>
        <v>#DIV/0!</v>
      </c>
      <c r="K76" s="70">
        <f>SUMIF(Taulukko1[KIELI],"g)*",Taulukko1[Asiakaskontakti (lkm)])</f>
        <v>0</v>
      </c>
      <c r="L76" s="48" t="e">
        <f>SUMIF(Taulukko1[KIELI],"g)*",Taulukko1[Asiakaskontakti (lkm)])/SUM(Taulukko1[Asiakaskontakti (lkm)])</f>
        <v>#DIV/0!</v>
      </c>
      <c r="M76" s="69" t="s">
        <v>115</v>
      </c>
    </row>
    <row r="77" spans="1:13" x14ac:dyDescent="0.25">
      <c r="A77" s="55" t="s">
        <v>195</v>
      </c>
      <c r="B77" s="71">
        <f>SUMIF(Taulukko1[KIELI],"h)*",Taulukko1[Tapahtumien määrä])</f>
        <v>0</v>
      </c>
      <c r="C77" s="48" t="e">
        <f>(SUMIF(Taulukko1[KIELI],"h)*",Taulukko1[Tapahtumien määrä]))/SUM(Taulukko1[Tapahtumien määrä])</f>
        <v>#DIV/0!</v>
      </c>
      <c r="D77" s="71" t="e">
        <f>AVERAGEIF(Taulukko1[KIELI],"h)*",Taulukko1[Kesto (min) / tapaaminen])</f>
        <v>#DIV/0!</v>
      </c>
      <c r="E77" s="72">
        <f>SUMIF(Taulukko1[KIELI],"h)*",Taulukko1[Kokonaiskesto (min)])/60</f>
        <v>0</v>
      </c>
      <c r="F77" s="70">
        <f>SUMIF(Taulukko1[KIELI],"h)*",Taulukko1[Tapaamiskerrat /lapsi])</f>
        <v>0</v>
      </c>
      <c r="G77" s="70">
        <f>SUMIF(Taulukko1[KIELI],"h)*",Taulukko1[Kävijämäärä a) lapset])</f>
        <v>0</v>
      </c>
      <c r="H77" s="70">
        <f>SUMIF(Taulukko1[KIELI],"h)*",Taulukko1[Kävijämäärä b) aikuiset])</f>
        <v>0</v>
      </c>
      <c r="I77" s="70">
        <f>SUMIF(Taulukko1[KIELI],"h)*",Taulukko1[Kokonaiskävijämäärä])</f>
        <v>0</v>
      </c>
      <c r="J77" s="71" t="e">
        <f>AVERAGEIF(Taulukko1[KIELI],"h)*",Taulukko1[Kokonaiskävijämäärä])</f>
        <v>#DIV/0!</v>
      </c>
      <c r="K77" s="70">
        <f>SUMIF(Taulukko1[KIELI],"h)*",Taulukko1[Asiakaskontakti (lkm)])</f>
        <v>0</v>
      </c>
      <c r="L77" s="48" t="e">
        <f>SUMIF(Taulukko1[KIELI],"h)*",Taulukko1[Asiakaskontakti (lkm)])/SUM(Taulukko1[Asiakaskontakti (lkm)])</f>
        <v>#DIV/0!</v>
      </c>
      <c r="M77" s="69" t="s">
        <v>195</v>
      </c>
    </row>
    <row r="78" spans="1:13" x14ac:dyDescent="0.25">
      <c r="A78" s="52" t="s">
        <v>41</v>
      </c>
      <c r="B78" s="77" t="s">
        <v>129</v>
      </c>
      <c r="M78" s="69"/>
    </row>
    <row r="79" spans="1:13" x14ac:dyDescent="0.25">
      <c r="A79" s="55" t="s">
        <v>116</v>
      </c>
      <c r="B79" s="71">
        <f>SUMIF(Taulukko1[RAHOITUS],"a)*",Taulukko1[Tapahtumien määrä])</f>
        <v>0</v>
      </c>
      <c r="C79" s="48" t="e">
        <f>(SUMIF(Taulukko1[RAHOITUS],"a)*",Taulukko1[Tapahtumien määrä]))/SUM(Taulukko1[Tapahtumien määrä])</f>
        <v>#DIV/0!</v>
      </c>
      <c r="D79" s="71" t="e">
        <f>AVERAGEIF(Taulukko1[RAHOITUS],"a)*",Taulukko1[Kesto (min) / tapaaminen])</f>
        <v>#DIV/0!</v>
      </c>
      <c r="E79" s="72">
        <f>SUMIF(Taulukko1[RAHOITUS],"a)*",Taulukko1[Kokonaiskesto (min)])/60</f>
        <v>0</v>
      </c>
      <c r="F79" s="70">
        <f>SUMIF(Taulukko1[RAHOITUS],"a)*",Taulukko1[Tapaamiskerrat /lapsi])</f>
        <v>0</v>
      </c>
      <c r="G79" s="70">
        <f>SUMIF(Taulukko1[RAHOITUS],"a)*",Taulukko1[Kävijämäärä a) lapset])</f>
        <v>0</v>
      </c>
      <c r="H79" s="70">
        <f>SUMIF(Taulukko1[RAHOITUS],"a)*",Taulukko1[Kävijämäärä b) aikuiset])</f>
        <v>0</v>
      </c>
      <c r="I79" s="70">
        <f>SUMIF(Taulukko1[RAHOITUS],"a)*",Taulukko1[Kokonaiskävijämäärä])</f>
        <v>0</v>
      </c>
      <c r="J79" s="71" t="e">
        <f>AVERAGEIF(Taulukko1[RAHOITUS],"a)*",Taulukko1[Kokonaiskävijämäärä])</f>
        <v>#DIV/0!</v>
      </c>
      <c r="K79" s="70">
        <f>SUMIF(Taulukko1[RAHOITUS],"a)*",Taulukko1[Asiakaskontakti (lkm)])</f>
        <v>0</v>
      </c>
      <c r="L79" s="48" t="e">
        <f>SUMIF(Taulukko1[RAHOITUS],"a)*",Taulukko1[Asiakaskontakti (lkm)])/SUM(Taulukko1[Asiakaskontakti (lkm)])</f>
        <v>#DIV/0!</v>
      </c>
      <c r="M79" s="69" t="s">
        <v>116</v>
      </c>
    </row>
    <row r="80" spans="1:13" x14ac:dyDescent="0.25">
      <c r="A80" s="55" t="s">
        <v>117</v>
      </c>
      <c r="B80" s="71">
        <f>SUMIF(Taulukko1[RAHOITUS],"B)*",Taulukko1[Tapahtumien määrä])</f>
        <v>0</v>
      </c>
      <c r="C80" s="48" t="e">
        <f>(SUMIF(Taulukko1[RAHOITUS],"b)*",Taulukko1[Tapahtumien määrä]))/SUM(Taulukko1[Tapahtumien määrä])</f>
        <v>#DIV/0!</v>
      </c>
      <c r="D80" s="71" t="e">
        <f>AVERAGEIF(Taulukko1[RAHOITUS],"b)*",Taulukko1[Kesto (min) / tapaaminen])</f>
        <v>#DIV/0!</v>
      </c>
      <c r="E80" s="72">
        <f>SUMIF(Taulukko1[RAHOITUS],"b)*",Taulukko1[Kokonaiskesto (min)])/60</f>
        <v>0</v>
      </c>
      <c r="F80" s="70">
        <f>SUMIF(Taulukko1[RAHOITUS],"b)*",Taulukko1[Tapaamiskerrat /lapsi])</f>
        <v>0</v>
      </c>
      <c r="G80" s="70">
        <f>SUMIF(Taulukko1[RAHOITUS],"b)*",Taulukko1[Kävijämäärä a) lapset])</f>
        <v>0</v>
      </c>
      <c r="H80" s="70">
        <f>SUMIF(Taulukko1[RAHOITUS],"b)*",Taulukko1[Kävijämäärä b) aikuiset])</f>
        <v>0</v>
      </c>
      <c r="I80" s="70">
        <f>SUMIF(Taulukko1[RAHOITUS],"b)*",Taulukko1[Kokonaiskävijämäärä])</f>
        <v>0</v>
      </c>
      <c r="J80" s="71" t="e">
        <f>AVERAGEIF(Taulukko1[RAHOITUS],"b)*",Taulukko1[Kokonaiskävijämäärä])</f>
        <v>#DIV/0!</v>
      </c>
      <c r="K80" s="70">
        <f>SUMIF(Taulukko1[RAHOITUS],"b)*",Taulukko1[Asiakaskontakti (lkm)])</f>
        <v>0</v>
      </c>
      <c r="L80" s="48" t="e">
        <f>SUMIF(Taulukko1[RAHOITUS],"b)*",Taulukko1[Asiakaskontakti (lkm)])/SUM(Taulukko1[Asiakaskontakti (lkm)])</f>
        <v>#DIV/0!</v>
      </c>
      <c r="M80" s="69" t="s">
        <v>117</v>
      </c>
    </row>
    <row r="81" spans="1:13" x14ac:dyDescent="0.25">
      <c r="A81" s="55" t="s">
        <v>122</v>
      </c>
      <c r="B81" s="71">
        <f>SUMIF(Taulukko1[RAHOITUS],"c)*",Taulukko1[Tapahtumien määrä])</f>
        <v>0</v>
      </c>
      <c r="C81" s="48" t="e">
        <f>(SUMIF(Taulukko1[RAHOITUS],"c)*",Taulukko1[Tapahtumien määrä]))/SUM(Taulukko1[Tapahtumien määrä])</f>
        <v>#DIV/0!</v>
      </c>
      <c r="D81" s="71" t="e">
        <f>AVERAGEIF(Taulukko1[RAHOITUS],"c)*",Taulukko1[Kesto (min) / tapaaminen])</f>
        <v>#DIV/0!</v>
      </c>
      <c r="E81" s="72">
        <f>SUMIF(Taulukko1[RAHOITUS],"c)*",Taulukko1[Kokonaiskesto (min)])/60</f>
        <v>0</v>
      </c>
      <c r="F81" s="70">
        <f>SUMIF(Taulukko1[RAHOITUS],"c)*",Taulukko1[Tapaamiskerrat /lapsi])</f>
        <v>0</v>
      </c>
      <c r="G81" s="70">
        <f>SUMIF(Taulukko1[RAHOITUS],"c)*",Taulukko1[Kävijämäärä a) lapset])</f>
        <v>0</v>
      </c>
      <c r="H81" s="70">
        <f>SUMIF(Taulukko1[RAHOITUS],"c)*",Taulukko1[Kävijämäärä b) aikuiset])</f>
        <v>0</v>
      </c>
      <c r="I81" s="70">
        <f>SUMIF(Taulukko1[RAHOITUS],"c)*",Taulukko1[Kokonaiskävijämäärä])</f>
        <v>0</v>
      </c>
      <c r="J81" s="71" t="e">
        <f>AVERAGEIF(Taulukko1[RAHOITUS],"c)*",Taulukko1[Kokonaiskävijämäärä])</f>
        <v>#DIV/0!</v>
      </c>
      <c r="K81" s="70">
        <f>SUMIF(Taulukko1[RAHOITUS],"c)*",Taulukko1[Asiakaskontakti (lkm)])</f>
        <v>0</v>
      </c>
      <c r="L81" s="48" t="e">
        <f>SUMIF(Taulukko1[RAHOITUS],"c)*",Taulukko1[Asiakaskontakti (lkm)])/SUM(Taulukko1[Asiakaskontakti (lkm)])</f>
        <v>#DIV/0!</v>
      </c>
      <c r="M81" s="69" t="s">
        <v>122</v>
      </c>
    </row>
    <row r="82" spans="1:13" x14ac:dyDescent="0.25">
      <c r="A82" s="55" t="s">
        <v>123</v>
      </c>
      <c r="B82" s="71">
        <f>SUMIF(Taulukko1[RAHOITUS],"d)*",Taulukko1[Tapahtumien määrä])</f>
        <v>0</v>
      </c>
      <c r="C82" s="48" t="e">
        <f>(SUMIF(Taulukko1[RAHOITUS],"d)*",Taulukko1[Tapahtumien määrä]))/SUM(Taulukko1[Tapahtumien määrä])</f>
        <v>#DIV/0!</v>
      </c>
      <c r="D82" s="71" t="e">
        <f>AVERAGEIF(Taulukko1[RAHOITUS],"d)*",Taulukko1[Kesto (min) / tapaaminen])</f>
        <v>#DIV/0!</v>
      </c>
      <c r="E82" s="72">
        <f>SUMIF(Taulukko1[RAHOITUS],"d)*",Taulukko1[Kokonaiskesto (min)])/60</f>
        <v>0</v>
      </c>
      <c r="F82" s="70">
        <f>SUMIF(Taulukko1[RAHOITUS],"d)*",Taulukko1[Tapaamiskerrat /lapsi])</f>
        <v>0</v>
      </c>
      <c r="G82" s="70">
        <f>SUMIF(Taulukko1[RAHOITUS],"d)*",Taulukko1[Kävijämäärä a) lapset])</f>
        <v>0</v>
      </c>
      <c r="H82" s="70">
        <f>SUMIF(Taulukko1[RAHOITUS],"d)*",Taulukko1[Kävijämäärä b) aikuiset])</f>
        <v>0</v>
      </c>
      <c r="I82" s="70">
        <f>SUMIF(Taulukko1[RAHOITUS],"d)*",Taulukko1[Kokonaiskävijämäärä])</f>
        <v>0</v>
      </c>
      <c r="J82" s="71" t="e">
        <f>AVERAGEIF(Taulukko1[RAHOITUS],"d)*",Taulukko1[Kokonaiskävijämäärä])</f>
        <v>#DIV/0!</v>
      </c>
      <c r="K82" s="70">
        <f>SUMIF(Taulukko1[RAHOITUS],"d)*",Taulukko1[Asiakaskontakti (lkm)])</f>
        <v>0</v>
      </c>
      <c r="L82" s="48" t="e">
        <f>SUMIF(Taulukko1[RAHOITUS],"d)*",Taulukko1[Asiakaskontakti (lkm)])/SUM(Taulukko1[Asiakaskontakti (lkm)])</f>
        <v>#DIV/0!</v>
      </c>
      <c r="M82" s="69" t="s">
        <v>123</v>
      </c>
    </row>
    <row r="83" spans="1:13" x14ac:dyDescent="0.25">
      <c r="A83" s="55" t="s">
        <v>124</v>
      </c>
      <c r="B83" s="71">
        <f>SUMIF(Taulukko1[RAHOITUS],"e)*",Taulukko1[Tapahtumien määrä])</f>
        <v>0</v>
      </c>
      <c r="C83" s="48" t="e">
        <f>(SUMIF(Taulukko1[RAHOITUS],"e)*",Taulukko1[Tapahtumien määrä]))/SUM(Taulukko1[Tapahtumien määrä])</f>
        <v>#DIV/0!</v>
      </c>
      <c r="D83" s="71" t="e">
        <f>AVERAGEIF(Taulukko1[RAHOITUS],"e)*",Taulukko1[Kesto (min) / tapaaminen])</f>
        <v>#DIV/0!</v>
      </c>
      <c r="E83" s="72">
        <f>SUMIF(Taulukko1[RAHOITUS],"e)*",Taulukko1[Kokonaiskesto (min)])/60</f>
        <v>0</v>
      </c>
      <c r="F83" s="70">
        <f>SUMIF(Taulukko1[RAHOITUS],"e)*",Taulukko1[Tapaamiskerrat /lapsi])</f>
        <v>0</v>
      </c>
      <c r="G83" s="70">
        <f>SUMIF(Taulukko1[RAHOITUS],"e)*",Taulukko1[Kävijämäärä a) lapset])</f>
        <v>0</v>
      </c>
      <c r="H83" s="70">
        <f>SUMIF(Taulukko1[RAHOITUS],"e)*",Taulukko1[Kävijämäärä b) aikuiset])</f>
        <v>0</v>
      </c>
      <c r="I83" s="70">
        <f>SUMIF(Taulukko1[RAHOITUS],"e)*",Taulukko1[Kokonaiskävijämäärä])</f>
        <v>0</v>
      </c>
      <c r="J83" s="71" t="e">
        <f>AVERAGEIF(Taulukko1[RAHOITUS],"e)*",Taulukko1[Kokonaiskävijämäärä])</f>
        <v>#DIV/0!</v>
      </c>
      <c r="K83" s="70">
        <f>SUMIF(Taulukko1[RAHOITUS],"e)*",Taulukko1[Asiakaskontakti (lkm)])</f>
        <v>0</v>
      </c>
      <c r="L83" s="48" t="e">
        <f>SUMIF(Taulukko1[RAHOITUS],"e)*",Taulukko1[Asiakaskontakti (lkm)])/SUM(Taulukko1[Asiakaskontakti (lkm)])</f>
        <v>#DIV/0!</v>
      </c>
      <c r="M83" s="69" t="s">
        <v>124</v>
      </c>
    </row>
    <row r="84" spans="1:13" x14ac:dyDescent="0.25">
      <c r="A84" s="55" t="s">
        <v>125</v>
      </c>
      <c r="B84" s="71">
        <f>SUMIF(Taulukko1[RAHOITUS],"f)*",Taulukko1[Tapahtumien määrä])</f>
        <v>0</v>
      </c>
      <c r="C84" s="48" t="e">
        <f>(SUMIF(Taulukko1[RAHOITUS],"f)*",Taulukko1[Tapahtumien määrä]))/SUM(Taulukko1[Tapahtumien määrä])</f>
        <v>#DIV/0!</v>
      </c>
      <c r="D84" s="71" t="e">
        <f>AVERAGEIF(Taulukko1[RAHOITUS],"f)*",Taulukko1[Kesto (min) / tapaaminen])</f>
        <v>#DIV/0!</v>
      </c>
      <c r="E84" s="72">
        <f>SUMIF(Taulukko1[RAHOITUS],"f)*",Taulukko1[Kokonaiskesto (min)])/60</f>
        <v>0</v>
      </c>
      <c r="F84" s="70">
        <f>SUMIF(Taulukko1[RAHOITUS],"f)*",Taulukko1[Tapaamiskerrat /lapsi])</f>
        <v>0</v>
      </c>
      <c r="G84" s="70">
        <f>SUMIF(Taulukko1[RAHOITUS],"f)*",Taulukko1[Kävijämäärä a) lapset])</f>
        <v>0</v>
      </c>
      <c r="H84" s="70">
        <f>SUMIF(Taulukko1[RAHOITUS],"f)*",Taulukko1[Kävijämäärä b) aikuiset])</f>
        <v>0</v>
      </c>
      <c r="I84" s="70">
        <f>SUMIF(Taulukko1[RAHOITUS],"f)*",Taulukko1[Kokonaiskävijämäärä])</f>
        <v>0</v>
      </c>
      <c r="J84" s="71" t="e">
        <f>AVERAGEIF(Taulukko1[RAHOITUS],"f)*",Taulukko1[Kokonaiskävijämäärä])</f>
        <v>#DIV/0!</v>
      </c>
      <c r="K84" s="70">
        <f>SUMIF(Taulukko1[RAHOITUS],"f)*",Taulukko1[Asiakaskontakti (lkm)])</f>
        <v>0</v>
      </c>
      <c r="L84" s="48" t="e">
        <f>SUMIF(Taulukko1[RAHOITUS],"f)*",Taulukko1[Asiakaskontakti (lkm)])/SUM(Taulukko1[Asiakaskontakti (lkm)])</f>
        <v>#DIV/0!</v>
      </c>
      <c r="M84" s="69" t="s">
        <v>125</v>
      </c>
    </row>
    <row r="85" spans="1:13" x14ac:dyDescent="0.25">
      <c r="A85" s="55" t="s">
        <v>126</v>
      </c>
      <c r="B85" s="71">
        <f>SUMIF(Taulukko1[RAHOITUS],"g)*",Taulukko1[Tapahtumien määrä])</f>
        <v>0</v>
      </c>
      <c r="C85" s="48" t="e">
        <f>(SUMIF(Taulukko1[RAHOITUS],"g)*",Taulukko1[Tapahtumien määrä]))/SUM(Taulukko1[Tapahtumien määrä])</f>
        <v>#DIV/0!</v>
      </c>
      <c r="D85" s="71" t="e">
        <f>AVERAGEIF(Taulukko1[RAHOITUS],"g)*",Taulukko1[Kesto (min) / tapaaminen])</f>
        <v>#DIV/0!</v>
      </c>
      <c r="E85" s="72">
        <f>SUMIF(Taulukko1[RAHOITUS],"g)*",Taulukko1[Kokonaiskesto (min)])/60</f>
        <v>0</v>
      </c>
      <c r="F85" s="70">
        <f>SUMIF(Taulukko1[RAHOITUS],"g)*",Taulukko1[Tapaamiskerrat /lapsi])</f>
        <v>0</v>
      </c>
      <c r="G85" s="70">
        <f>SUMIF(Taulukko1[RAHOITUS],"g)*",Taulukko1[Kävijämäärä a) lapset])</f>
        <v>0</v>
      </c>
      <c r="H85" s="70">
        <f>SUMIF(Taulukko1[RAHOITUS],"g)*",Taulukko1[Kävijämäärä b) aikuiset])</f>
        <v>0</v>
      </c>
      <c r="I85" s="70">
        <f>SUMIF(Taulukko1[RAHOITUS],"g)*",Taulukko1[Kokonaiskävijämäärä])</f>
        <v>0</v>
      </c>
      <c r="J85" s="71" t="e">
        <f>AVERAGEIF(Taulukko1[RAHOITUS],"g)*",Taulukko1[Kokonaiskävijämäärä])</f>
        <v>#DIV/0!</v>
      </c>
      <c r="K85" s="70">
        <f>SUMIF(Taulukko1[RAHOITUS],"g)*",Taulukko1[Asiakaskontakti (lkm)])</f>
        <v>0</v>
      </c>
      <c r="L85" s="48" t="e">
        <f>SUMIF(Taulukko1[RAHOITUS],"g)*",Taulukko1[Asiakaskontakti (lkm)])/SUM(Taulukko1[Asiakaskontakti (lkm)])</f>
        <v>#DIV/0!</v>
      </c>
      <c r="M85" s="69" t="s">
        <v>126</v>
      </c>
    </row>
    <row r="86" spans="1:13" x14ac:dyDescent="0.25">
      <c r="A86" s="55" t="s">
        <v>127</v>
      </c>
      <c r="B86" s="71">
        <f>SUMIF(Taulukko1[RAHOITUS],"h)*",Taulukko1[Tapahtumien määrä])</f>
        <v>0</v>
      </c>
      <c r="C86" s="48" t="e">
        <f>(SUMIF(Taulukko1[RAHOITUS],"h)*",Taulukko1[Tapahtumien määrä]))/SUM(Taulukko1[Tapahtumien määrä])</f>
        <v>#DIV/0!</v>
      </c>
      <c r="D86" s="71" t="e">
        <f>AVERAGEIF(Taulukko1[RAHOITUS],"h)*",Taulukko1[Kesto (min) / tapaaminen])</f>
        <v>#DIV/0!</v>
      </c>
      <c r="E86" s="72">
        <f>SUMIF(Taulukko1[RAHOITUS],"h)*",Taulukko1[Kokonaiskesto (min)])/60</f>
        <v>0</v>
      </c>
      <c r="F86" s="70">
        <f>SUMIF(Taulukko1[RAHOITUS],"h)*",Taulukko1[Tapaamiskerrat /lapsi])</f>
        <v>0</v>
      </c>
      <c r="G86" s="70">
        <f>SUMIF(Taulukko1[RAHOITUS],"h)*",Taulukko1[Kävijämäärä a) lapset])</f>
        <v>0</v>
      </c>
      <c r="H86" s="70">
        <f>SUMIF(Taulukko1[RAHOITUS],"h)*",Taulukko1[Kävijämäärä b) aikuiset])</f>
        <v>0</v>
      </c>
      <c r="I86" s="70">
        <f>SUMIF(Taulukko1[RAHOITUS],"h)*",Taulukko1[Kokonaiskävijämäärä])</f>
        <v>0</v>
      </c>
      <c r="J86" s="71" t="e">
        <f>AVERAGEIF(Taulukko1[RAHOITUS],"h)*",Taulukko1[Kokonaiskävijämäärä])</f>
        <v>#DIV/0!</v>
      </c>
      <c r="K86" s="70">
        <f>SUMIF(Taulukko1[RAHOITUS],"h)*",Taulukko1[Asiakaskontakti (lkm)])</f>
        <v>0</v>
      </c>
      <c r="L86" s="48" t="e">
        <f>SUMIF(Taulukko1[RAHOITUS],"h)*",Taulukko1[Asiakaskontakti (lkm)])/SUM(Taulukko1[Asiakaskontakti (lkm)])</f>
        <v>#DIV/0!</v>
      </c>
      <c r="M86" s="69" t="s">
        <v>127</v>
      </c>
    </row>
    <row r="87" spans="1:13" x14ac:dyDescent="0.25">
      <c r="A87" s="55"/>
      <c r="B87" s="89" t="s">
        <v>130</v>
      </c>
      <c r="C87" s="85"/>
      <c r="D87" s="84"/>
      <c r="E87" s="86"/>
      <c r="F87" s="83"/>
      <c r="G87" s="83"/>
      <c r="H87" s="83"/>
      <c r="I87" s="83"/>
      <c r="J87" s="84"/>
      <c r="K87" s="83"/>
      <c r="L87" s="85"/>
      <c r="M87" s="139"/>
    </row>
    <row r="88" spans="1:13" x14ac:dyDescent="0.25">
      <c r="A88" s="53" t="s">
        <v>128</v>
      </c>
      <c r="B88" s="71">
        <f>SUMIF(Taulukko1[TOIMINTA],"b)*",Taulukko1[Tapahtumien määrä])</f>
        <v>0</v>
      </c>
      <c r="C88" s="48" t="e">
        <f>(SUMIF(Taulukko1[TOIMINTA],"b)*",Taulukko1[Tapahtumien määrä]))/SUM(Taulukko1[Tapahtumien määrä])</f>
        <v>#DIV/0!</v>
      </c>
      <c r="D88" s="71" t="e">
        <f>AVERAGEIF(Taulukko1[TOIMINTA],"b)*",Taulukko1[Kesto (min) / tapaaminen])</f>
        <v>#DIV/0!</v>
      </c>
      <c r="E88" s="72">
        <f>SUMIF(Taulukko1[TOIMINTA],"b)*",Taulukko1[Kokonaiskesto (min)])/60</f>
        <v>0</v>
      </c>
      <c r="F88" s="70">
        <f>SUMIF(Taulukko1[TOIMINTA],"b)*",Taulukko1[Tapaamiskerrat /lapsi])</f>
        <v>0</v>
      </c>
      <c r="G88" s="70">
        <f>SUMIF(Taulukko1[TOIMINTA],"b)*",Taulukko1[Kävijämäärä a) lapset])</f>
        <v>0</v>
      </c>
      <c r="H88" s="70">
        <f>SUMIF(Taulukko1[TOIMINTA],"b)*",Taulukko1[Kävijämäärä b) aikuiset])</f>
        <v>0</v>
      </c>
      <c r="I88" s="70">
        <f>SUMIF(Taulukko1[TOIMINTA],"b)*",Taulukko1[Kokonaiskävijämäärä])</f>
        <v>0</v>
      </c>
      <c r="J88" s="71" t="e">
        <f>AVERAGEIF(Taulukko1[TOIMINTA],"b)*",Taulukko1[Kokonaiskävijämäärä])</f>
        <v>#DIV/0!</v>
      </c>
      <c r="K88" s="70">
        <f>SUMIF(Taulukko1[TOIMINTA],"b)*",Taulukko1[Asiakaskontakti (lkm)])</f>
        <v>0</v>
      </c>
      <c r="L88" s="48" t="e">
        <f>SUMIF(Taulukko1[TOIMINTA],"b)*",Taulukko1[Asiakaskontakti (lkm)])/SUM(Taulukko1[Asiakaskontakti (lkm)])</f>
        <v>#DIV/0!</v>
      </c>
      <c r="M88" s="90" t="s">
        <v>128</v>
      </c>
    </row>
    <row r="89" spans="1:13" x14ac:dyDescent="0.25">
      <c r="A89" s="54" t="s">
        <v>75</v>
      </c>
      <c r="B89" s="71">
        <f>SUMIFS(Taulukko1[Tapahtumien määrä], Taulukko1[TOIMINTA],"b)*",Taulukko1[Ikäryhmä],"a)*")</f>
        <v>0</v>
      </c>
      <c r="C89" s="48" t="e">
        <f>(SUMIFS(Taulukko1[Tapahtumien määrä], Taulukko1[TOIMINTA],"b)*",Taulukko1[Ikäryhmä],"a)*"))/SUMIF(Taulukko1[TOIMINTA],"b)*",Taulukko1[Tapahtumien määrä])</f>
        <v>#DIV/0!</v>
      </c>
      <c r="D89" s="71" t="e">
        <f>AVERAGEIFS(Taulukko1[Kesto (min) / tapaaminen],Taulukko1[TOIMINTA],"b)*",Taulukko1[Ikäryhmä],"a)*")</f>
        <v>#DIV/0!</v>
      </c>
      <c r="E89" s="72">
        <f>(SUMIFS(Taulukko1[Kokonaiskesto (min)], Taulukko1[TOIMINTA],"b)*",Taulukko1[Ikäryhmä],"a)*"))/60</f>
        <v>0</v>
      </c>
      <c r="F89" s="70">
        <f>SUMIFS(Taulukko1[Tapaamiskerrat /lapsi], Taulukko1[TOIMINTA],"b)*",Taulukko1[Ikäryhmä],"a)*")</f>
        <v>0</v>
      </c>
      <c r="G89" s="71">
        <f>SUMIFS(Taulukko1[Kävijämäärä a) lapset], Taulukko1[TOIMINTA],"b)*",Taulukko1[Ikäryhmä],"a)*")</f>
        <v>0</v>
      </c>
      <c r="H89" s="71">
        <f>SUMIFS(Taulukko1[Kävijämäärä b) aikuiset], Taulukko1[TOIMINTA],"b)*",Taulukko1[Ikäryhmä],"a)*")</f>
        <v>0</v>
      </c>
      <c r="I89" s="71">
        <f>SUMIFS(Taulukko1[Kokonaiskävijämäärä], Taulukko1[TOIMINTA],"b)*",Taulukko1[Ikäryhmä],"a)*")</f>
        <v>0</v>
      </c>
      <c r="J89" s="71" t="e">
        <f>AVERAGEIFS(Taulukko1[Kokonaiskävijämäärä], Taulukko1[TOIMINTA],"b)*",Taulukko1[Ikäryhmä],"a)*")</f>
        <v>#DIV/0!</v>
      </c>
      <c r="K89" s="71">
        <f>SUMIFS(Taulukko1[Asiakaskontakti (lkm)], Taulukko1[TOIMINTA],"b)*",Taulukko1[Ikäryhmä],"a)*")</f>
        <v>0</v>
      </c>
      <c r="L89" s="48" t="e">
        <f>(SUMIFS(Taulukko1[Asiakaskontakti (lkm)], Taulukko1[TOIMINTA],"b)*",Taulukko1[Ikäryhmä],"a)*"))/(SUMIF(Taulukko1[TOIMINTA],"b)*",Taulukko1[Asiakaskontakti (lkm)]))</f>
        <v>#DIV/0!</v>
      </c>
      <c r="M89" s="90" t="s">
        <v>75</v>
      </c>
    </row>
    <row r="90" spans="1:13" x14ac:dyDescent="0.25">
      <c r="A90" s="136" t="s">
        <v>93</v>
      </c>
      <c r="B90" s="71">
        <f>SUMIFS(Taulukko1[Tapahtumien määrä], Taulukko1[TOIMINTA],"b)*",Taulukko1[Ikäryhmä],"b)*")</f>
        <v>0</v>
      </c>
      <c r="C90" s="48" t="e">
        <f>(SUMIFS(Taulukko1[Tapahtumien määrä], Taulukko1[TOIMINTA],"b)*",Taulukko1[Ikäryhmä],"b)*"))/SUMIF(Taulukko1[TOIMINTA],"b)*",Taulukko1[Tapahtumien määrä])</f>
        <v>#DIV/0!</v>
      </c>
      <c r="D90" s="71" t="e">
        <f>AVERAGEIFS(Taulukko1[Kesto (min) / tapaaminen],Taulukko1[TOIMINTA],"b)*",Taulukko1[Ikäryhmä],"b)*")</f>
        <v>#DIV/0!</v>
      </c>
      <c r="E90" s="72">
        <f>(SUMIFS(Taulukko1[Kokonaiskesto (min)], Taulukko1[TOIMINTA],"b)*",Taulukko1[Ikäryhmä],"b)*"))/60</f>
        <v>0</v>
      </c>
      <c r="F90" s="70">
        <f>SUMIFS(Taulukko1[Tapaamiskerrat /lapsi], Taulukko1[TOIMINTA],"b)*",Taulukko1[Ikäryhmä],"b)*")</f>
        <v>0</v>
      </c>
      <c r="G90" s="71">
        <f>SUMIFS(Taulukko1[Kävijämäärä a) lapset], Taulukko1[TOIMINTA],"b)*",Taulukko1[Ikäryhmä],"b)*")</f>
        <v>0</v>
      </c>
      <c r="H90" s="71">
        <f>SUMIFS(Taulukko1[Kävijämäärä b) aikuiset], Taulukko1[TOIMINTA],"b)*",Taulukko1[Ikäryhmä],"b)*")</f>
        <v>0</v>
      </c>
      <c r="I90" s="71">
        <f>SUMIFS(Taulukko1[Kokonaiskävijämäärä], Taulukko1[TOIMINTA],"b)*",Taulukko1[Ikäryhmä],"b)*")</f>
        <v>0</v>
      </c>
      <c r="J90" s="71" t="e">
        <f>AVERAGEIFS(Taulukko1[Kokonaiskävijämäärä], Taulukko1[TOIMINTA],"b)*",Taulukko1[Ikäryhmä],"b)*")</f>
        <v>#DIV/0!</v>
      </c>
      <c r="K90" s="71">
        <f>SUMIFS(Taulukko1[Asiakaskontakti (lkm)], Taulukko1[TOIMINTA],"b)*",Taulukko1[Ikäryhmä],"b)*")</f>
        <v>0</v>
      </c>
      <c r="L90" s="48" t="e">
        <f>(SUMIFS(Taulukko1[Asiakaskontakti (lkm)], Taulukko1[TOIMINTA],"b)*",Taulukko1[Ikäryhmä],"b)*"))/(SUMIF(Taulukko1[TOIMINTA],"b)*",Taulukko1[Asiakaskontakti (lkm)]))</f>
        <v>#DIV/0!</v>
      </c>
      <c r="M90" s="142" t="s">
        <v>93</v>
      </c>
    </row>
    <row r="91" spans="1:13" x14ac:dyDescent="0.25">
      <c r="A91" s="136" t="s">
        <v>94</v>
      </c>
      <c r="B91" s="71">
        <f>SUMIFS(Taulukko1[Tapahtumien määrä], Taulukko1[TOIMINTA],"b)*",Taulukko1[Ikäryhmä],"c)*")</f>
        <v>0</v>
      </c>
      <c r="C91" s="48" t="e">
        <f>(SUMIFS(Taulukko1[Tapahtumien määrä], Taulukko1[TOIMINTA],"b)*",Taulukko1[Ikäryhmä],"c)*"))/SUMIF(Taulukko1[TOIMINTA],"b)*",Taulukko1[Tapahtumien määrä])</f>
        <v>#DIV/0!</v>
      </c>
      <c r="D91" s="71" t="e">
        <f>AVERAGEIFS(Taulukko1[Kesto (min) / tapaaminen],Taulukko1[TOIMINTA],"b)*",Taulukko1[Ikäryhmä],"c)*")</f>
        <v>#DIV/0!</v>
      </c>
      <c r="E91" s="72">
        <f>(SUMIFS(Taulukko1[Kokonaiskesto (min)], Taulukko1[TOIMINTA],"b)*",Taulukko1[Ikäryhmä],"c)*"))/60</f>
        <v>0</v>
      </c>
      <c r="F91" s="70">
        <f>SUMIFS(Taulukko1[Tapaamiskerrat /lapsi], Taulukko1[TOIMINTA],"b)*",Taulukko1[Ikäryhmä],"c)*")</f>
        <v>0</v>
      </c>
      <c r="G91" s="71">
        <f>SUMIFS(Taulukko1[Kävijämäärä a) lapset], Taulukko1[TOIMINTA],"b)*",Taulukko1[Ikäryhmä],"c)*")</f>
        <v>0</v>
      </c>
      <c r="H91" s="71">
        <f>SUMIFS(Taulukko1[Kävijämäärä b) aikuiset], Taulukko1[TOIMINTA],"b)*",Taulukko1[Ikäryhmä],"c)*")</f>
        <v>0</v>
      </c>
      <c r="I91" s="71">
        <f>SUMIFS(Taulukko1[Kokonaiskävijämäärä], Taulukko1[TOIMINTA],"b)*",Taulukko1[Ikäryhmä],"c)*")</f>
        <v>0</v>
      </c>
      <c r="J91" s="71" t="e">
        <f>AVERAGEIFS(Taulukko1[Kokonaiskävijämäärä], Taulukko1[TOIMINTA],"b)*",Taulukko1[Ikäryhmä],"c)*")</f>
        <v>#DIV/0!</v>
      </c>
      <c r="K91" s="71">
        <f>SUMIFS(Taulukko1[Asiakaskontakti (lkm)], Taulukko1[TOIMINTA],"b)*",Taulukko1[Ikäryhmä],"c)*")</f>
        <v>0</v>
      </c>
      <c r="L91" s="48" t="e">
        <f>(SUMIFS(Taulukko1[Asiakaskontakti (lkm)], Taulukko1[TOIMINTA],"b)*",Taulukko1[Ikäryhmä],"c)*"))/(SUMIF(Taulukko1[TOIMINTA],"b)*",Taulukko1[Asiakaskontakti (lkm)]))</f>
        <v>#DIV/0!</v>
      </c>
      <c r="M91" s="142" t="s">
        <v>94</v>
      </c>
    </row>
    <row r="92" spans="1:13" x14ac:dyDescent="0.25">
      <c r="A92" s="136" t="s">
        <v>95</v>
      </c>
      <c r="B92" s="71">
        <f>SUMIFS(Taulukko1[Tapahtumien määrä], Taulukko1[TOIMINTA],"b)*",Taulukko1[Ikäryhmä],"d)*")</f>
        <v>0</v>
      </c>
      <c r="C92" s="48" t="e">
        <f>(SUMIFS(Taulukko1[Tapahtumien määrä], Taulukko1[TOIMINTA],"b)*",Taulukko1[Ikäryhmä],"d)*"))/SUMIF(Taulukko1[TOIMINTA],"b)*",Taulukko1[Tapahtumien määrä])</f>
        <v>#DIV/0!</v>
      </c>
      <c r="D92" s="71" t="e">
        <f>AVERAGEIFS(Taulukko1[Kesto (min) / tapaaminen],Taulukko1[TOIMINTA],"b)*",Taulukko1[Ikäryhmä],"d)*")</f>
        <v>#DIV/0!</v>
      </c>
      <c r="E92" s="72">
        <f>(SUMIFS(Taulukko1[Kokonaiskesto (min)], Taulukko1[TOIMINTA],"b)*",Taulukko1[Ikäryhmä],"d)*"))/60</f>
        <v>0</v>
      </c>
      <c r="F92" s="70">
        <f>SUMIFS(Taulukko1[Tapaamiskerrat /lapsi], Taulukko1[TOIMINTA],"b)*",Taulukko1[Ikäryhmä],"d)*")</f>
        <v>0</v>
      </c>
      <c r="G92" s="71">
        <f>SUMIFS(Taulukko1[Kävijämäärä a) lapset], Taulukko1[TOIMINTA],"b)*",Taulukko1[Ikäryhmä],"d)*")</f>
        <v>0</v>
      </c>
      <c r="H92" s="71">
        <f>SUMIFS(Taulukko1[Kävijämäärä b) aikuiset], Taulukko1[TOIMINTA],"b)*",Taulukko1[Ikäryhmä],"d)*")</f>
        <v>0</v>
      </c>
      <c r="I92" s="71">
        <f>SUMIFS(Taulukko1[Kokonaiskävijämäärä], Taulukko1[TOIMINTA],"b)*",Taulukko1[Ikäryhmä],"d)*")</f>
        <v>0</v>
      </c>
      <c r="J92" s="71" t="e">
        <f>AVERAGEIFS(Taulukko1[Kokonaiskävijämäärä], Taulukko1[TOIMINTA],"b)*",Taulukko1[Ikäryhmä],"d)*")</f>
        <v>#DIV/0!</v>
      </c>
      <c r="K92" s="71">
        <f>SUMIFS(Taulukko1[Asiakaskontakti (lkm)], Taulukko1[TOIMINTA],"b)*",Taulukko1[Ikäryhmä],"d)*")</f>
        <v>0</v>
      </c>
      <c r="L92" s="48" t="e">
        <f>(SUMIFS(Taulukko1[Asiakaskontakti (lkm)], Taulukko1[TOIMINTA],"b)*",Taulukko1[Ikäryhmä],"d)*"))/(SUMIF(Taulukko1[TOIMINTA],"b)*",Taulukko1[Asiakaskontakti (lkm)]))</f>
        <v>#DIV/0!</v>
      </c>
      <c r="M92" s="142" t="s">
        <v>95</v>
      </c>
    </row>
    <row r="93" spans="1:13" x14ac:dyDescent="0.25">
      <c r="A93" s="54" t="s">
        <v>96</v>
      </c>
      <c r="B93" s="71">
        <f>SUMIFS(Taulukko1[Tapahtumien määrä], Taulukko1[TOIMINTA],"b)*",Taulukko1[Ikäryhmä],"e)*")</f>
        <v>0</v>
      </c>
      <c r="C93" s="48" t="e">
        <f>(SUMIFS(Taulukko1[Tapahtumien määrä], Taulukko1[TOIMINTA],"b)*",Taulukko1[Ikäryhmä],"e)*"))/SUMIF(Taulukko1[TOIMINTA],"b)*",Taulukko1[Tapahtumien määrä])</f>
        <v>#DIV/0!</v>
      </c>
      <c r="D93" s="71" t="e">
        <f>AVERAGEIFS(Taulukko1[Kesto (min) / tapaaminen],Taulukko1[TOIMINTA],"b)*",Taulukko1[Ikäryhmä],"e)*")</f>
        <v>#DIV/0!</v>
      </c>
      <c r="E93" s="72">
        <f>(SUMIFS(Taulukko1[Kokonaiskesto (min)], Taulukko1[TOIMINTA],"b)*",Taulukko1[Ikäryhmä],"e)*"))/60</f>
        <v>0</v>
      </c>
      <c r="F93" s="70">
        <f>SUMIFS(Taulukko1[Tapaamiskerrat /lapsi], Taulukko1[TOIMINTA],"b)*",Taulukko1[Ikäryhmä],"e)*")</f>
        <v>0</v>
      </c>
      <c r="G93" s="71">
        <f>SUMIFS(Taulukko1[Kävijämäärä a) lapset], Taulukko1[TOIMINTA],"b)*",Taulukko1[Ikäryhmä],"e)*")</f>
        <v>0</v>
      </c>
      <c r="H93" s="71">
        <f>SUMIFS(Taulukko1[Kävijämäärä b) aikuiset], Taulukko1[TOIMINTA],"b)*",Taulukko1[Ikäryhmä],"e)*")</f>
        <v>0</v>
      </c>
      <c r="I93" s="71">
        <f>SUMIFS(Taulukko1[Kokonaiskävijämäärä], Taulukko1[TOIMINTA],"b)*",Taulukko1[Ikäryhmä],"e)*")</f>
        <v>0</v>
      </c>
      <c r="J93" s="71" t="e">
        <f>AVERAGEIFS(Taulukko1[Kokonaiskävijämäärä], Taulukko1[TOIMINTA],"b)*",Taulukko1[Ikäryhmä],"e)*")</f>
        <v>#DIV/0!</v>
      </c>
      <c r="K93" s="71">
        <f>SUMIFS(Taulukko1[Asiakaskontakti (lkm)], Taulukko1[TOIMINTA],"b)*",Taulukko1[Ikäryhmä],"e)*")</f>
        <v>0</v>
      </c>
      <c r="L93" s="48" t="e">
        <f>(SUMIFS(Taulukko1[Asiakaskontakti (lkm)], Taulukko1[TOIMINTA],"b)*",Taulukko1[Ikäryhmä],"e)*"))/(SUMIF(Taulukko1[TOIMINTA],"b)*",Taulukko1[Asiakaskontakti (lkm)]))</f>
        <v>#DIV/0!</v>
      </c>
      <c r="M93" s="90" t="s">
        <v>96</v>
      </c>
    </row>
    <row r="94" spans="1:13" x14ac:dyDescent="0.25">
      <c r="A94" s="54" t="s">
        <v>97</v>
      </c>
      <c r="B94" s="71">
        <f>SUMIFS(Taulukko1[Tapahtumien määrä], Taulukko1[TOIMINTA],"b)*",Taulukko1[Ikäryhmä],"f)*")</f>
        <v>0</v>
      </c>
      <c r="C94" s="48" t="e">
        <f>(SUMIFS(Taulukko1[Tapahtumien määrä], Taulukko1[TOIMINTA],"b)*",Taulukko1[Ikäryhmä],"f)*"))/SUMIF(Taulukko1[TOIMINTA],"b)*",Taulukko1[Tapahtumien määrä])</f>
        <v>#DIV/0!</v>
      </c>
      <c r="D94" s="71" t="e">
        <f>AVERAGEIFS(Taulukko1[Kesto (min) / tapaaminen],Taulukko1[TOIMINTA],"b)*",Taulukko1[Ikäryhmä],"f)*")</f>
        <v>#DIV/0!</v>
      </c>
      <c r="E94" s="72">
        <f>(SUMIFS(Taulukko1[Kokonaiskesto (min)], Taulukko1[TOIMINTA],"b)*",Taulukko1[Ikäryhmä],"f)*"))/60</f>
        <v>0</v>
      </c>
      <c r="F94" s="70">
        <f>SUMIFS(Taulukko1[Tapaamiskerrat /lapsi], Taulukko1[TOIMINTA],"b)*",Taulukko1[Ikäryhmä],"f)*")</f>
        <v>0</v>
      </c>
      <c r="G94" s="71">
        <f>SUMIFS(Taulukko1[Kävijämäärä a) lapset], Taulukko1[TOIMINTA],"b)*",Taulukko1[Ikäryhmä],"f)*")</f>
        <v>0</v>
      </c>
      <c r="H94" s="71">
        <f>SUMIFS(Taulukko1[Kävijämäärä b) aikuiset], Taulukko1[TOIMINTA],"b)*",Taulukko1[Ikäryhmä],"f)*")</f>
        <v>0</v>
      </c>
      <c r="I94" s="71">
        <f>SUMIFS(Taulukko1[Kokonaiskävijämäärä], Taulukko1[TOIMINTA],"b)*",Taulukko1[Ikäryhmä],"f)*")</f>
        <v>0</v>
      </c>
      <c r="J94" s="71" t="e">
        <f>AVERAGEIFS(Taulukko1[Kokonaiskävijämäärä], Taulukko1[TOIMINTA],"b)*",Taulukko1[Ikäryhmä],"f)*")</f>
        <v>#DIV/0!</v>
      </c>
      <c r="K94" s="71">
        <f>SUMIFS(Taulukko1[Asiakaskontakti (lkm)], Taulukko1[TOIMINTA],"b)*",Taulukko1[Ikäryhmä],"f)*")</f>
        <v>0</v>
      </c>
      <c r="L94" s="48" t="e">
        <f>(SUMIFS(Taulukko1[Asiakaskontakti (lkm)], Taulukko1[TOIMINTA],"b)*",Taulukko1[Ikäryhmä],"f)*"))/(SUMIF(Taulukko1[TOIMINTA],"b)*",Taulukko1[Asiakaskontakti (lkm)]))</f>
        <v>#DIV/0!</v>
      </c>
      <c r="M94" s="90" t="s">
        <v>97</v>
      </c>
    </row>
    <row r="95" spans="1:13" x14ac:dyDescent="0.25">
      <c r="A95" s="54" t="s">
        <v>98</v>
      </c>
      <c r="B95" s="71">
        <f>SUMIFS(Taulukko1[Tapahtumien määrä], Taulukko1[TOIMINTA],"b)*",Taulukko1[Ikäryhmä],"g)*")</f>
        <v>0</v>
      </c>
      <c r="C95" s="48" t="e">
        <f>(SUMIFS(Taulukko1[Tapahtumien määrä], Taulukko1[TOIMINTA],"b)*",Taulukko1[Ikäryhmä],"g)*"))/SUMIF(Taulukko1[TOIMINTA],"b)*",Taulukko1[Tapahtumien määrä])</f>
        <v>#DIV/0!</v>
      </c>
      <c r="D95" s="71" t="e">
        <f>AVERAGEIFS(Taulukko1[Kesto (min) / tapaaminen],Taulukko1[TOIMINTA],"b)*",Taulukko1[Ikäryhmä],"g)*")</f>
        <v>#DIV/0!</v>
      </c>
      <c r="E95" s="72">
        <f>(SUMIFS(Taulukko1[Kokonaiskesto (min)], Taulukko1[TOIMINTA],"b)*",Taulukko1[Ikäryhmä],"g)*"))/60</f>
        <v>0</v>
      </c>
      <c r="F95" s="70">
        <f>SUMIFS(Taulukko1[Tapaamiskerrat /lapsi], Taulukko1[TOIMINTA],"b)*",Taulukko1[Ikäryhmä],"g)*")</f>
        <v>0</v>
      </c>
      <c r="G95" s="71">
        <f>SUMIFS(Taulukko1[Kävijämäärä a) lapset], Taulukko1[TOIMINTA],"b)*",Taulukko1[Ikäryhmä],"g)*")</f>
        <v>0</v>
      </c>
      <c r="H95" s="71">
        <f>SUMIFS(Taulukko1[Kävijämäärä b) aikuiset], Taulukko1[TOIMINTA],"b)*",Taulukko1[Ikäryhmä],"g)*")</f>
        <v>0</v>
      </c>
      <c r="I95" s="71">
        <f>SUMIFS(Taulukko1[Kokonaiskävijämäärä], Taulukko1[TOIMINTA],"b)*",Taulukko1[Ikäryhmä],"g)*")</f>
        <v>0</v>
      </c>
      <c r="J95" s="71" t="e">
        <f>AVERAGEIFS(Taulukko1[Kokonaiskävijämäärä], Taulukko1[TOIMINTA],"b)*",Taulukko1[Ikäryhmä],"g)*")</f>
        <v>#DIV/0!</v>
      </c>
      <c r="K95" s="71">
        <f>SUMIFS(Taulukko1[Asiakaskontakti (lkm)], Taulukko1[TOIMINTA],"b)*",Taulukko1[Ikäryhmä],"g)*")</f>
        <v>0</v>
      </c>
      <c r="L95" s="48" t="e">
        <f>(SUMIFS(Taulukko1[Asiakaskontakti (lkm)], Taulukko1[TOIMINTA],"b)*",Taulukko1[Ikäryhmä],"g)*"))/(SUMIF(Taulukko1[TOIMINTA],"b)*",Taulukko1[Asiakaskontakti (lkm)]))</f>
        <v>#DIV/0!</v>
      </c>
      <c r="M95" s="90" t="s">
        <v>98</v>
      </c>
    </row>
    <row r="96" spans="1:13" x14ac:dyDescent="0.25">
      <c r="A96" s="54" t="s">
        <v>99</v>
      </c>
      <c r="B96" s="71">
        <f>SUMIFS(Taulukko1[Tapahtumien määrä], Taulukko1[TOIMINTA],"b)*",Taulukko1[Ikäryhmä],"h)*")</f>
        <v>0</v>
      </c>
      <c r="C96" s="48" t="e">
        <f>(SUMIFS(Taulukko1[Tapahtumien määrä], Taulukko1[TOIMINTA],"b)*",Taulukko1[Ikäryhmä],"h)*"))/SUMIF(Taulukko1[TOIMINTA],"b)*",Taulukko1[Tapahtumien määrä])</f>
        <v>#DIV/0!</v>
      </c>
      <c r="D96" s="71" t="e">
        <f>AVERAGEIFS(Taulukko1[Kesto (min) / tapaaminen],Taulukko1[TOIMINTA],"b)*",Taulukko1[Ikäryhmä],"h)*")</f>
        <v>#DIV/0!</v>
      </c>
      <c r="E96" s="72">
        <f>(SUMIFS(Taulukko1[Kokonaiskesto (min)], Taulukko1[TOIMINTA],"b)*",Taulukko1[Ikäryhmä],"h)*"))/60</f>
        <v>0</v>
      </c>
      <c r="F96" s="70">
        <f>SUMIFS(Taulukko1[Tapaamiskerrat /lapsi], Taulukko1[TOIMINTA],"b)*",Taulukko1[Ikäryhmä],"h)*")</f>
        <v>0</v>
      </c>
      <c r="G96" s="71">
        <f>SUMIFS(Taulukko1[Kävijämäärä a) lapset], Taulukko1[TOIMINTA],"b)*",Taulukko1[Ikäryhmä],"h)*")</f>
        <v>0</v>
      </c>
      <c r="H96" s="71">
        <f>SUMIFS(Taulukko1[Kävijämäärä b) aikuiset], Taulukko1[TOIMINTA],"b)*",Taulukko1[Ikäryhmä],"h)*")</f>
        <v>0</v>
      </c>
      <c r="I96" s="71">
        <f>SUMIFS(Taulukko1[Kokonaiskävijämäärä], Taulukko1[TOIMINTA],"b)*",Taulukko1[Ikäryhmä],"h)*")</f>
        <v>0</v>
      </c>
      <c r="J96" s="71" t="e">
        <f>AVERAGEIFS(Taulukko1[Kokonaiskävijämäärä], Taulukko1[TOIMINTA],"b)*",Taulukko1[Ikäryhmä],"h)*")</f>
        <v>#DIV/0!</v>
      </c>
      <c r="K96" s="71">
        <f>SUMIFS(Taulukko1[Asiakaskontakti (lkm)], Taulukko1[TOIMINTA],"b)*",Taulukko1[Ikäryhmä],"h)*")</f>
        <v>0</v>
      </c>
      <c r="L96" s="48" t="e">
        <f>(SUMIFS(Taulukko1[Asiakaskontakti (lkm)], Taulukko1[TOIMINTA],"b)*",Taulukko1[Ikäryhmä],"h)*"))/(SUMIF(Taulukko1[TOIMINTA],"b)*",Taulukko1[Asiakaskontakti (lkm)]))</f>
        <v>#DIV/0!</v>
      </c>
      <c r="M96" s="90" t="s">
        <v>99</v>
      </c>
    </row>
    <row r="97" spans="1:13" x14ac:dyDescent="0.25">
      <c r="A97" s="79" t="s">
        <v>100</v>
      </c>
      <c r="B97" s="71">
        <f>SUMIFS(Taulukko1[Tapahtumien määrä], Taulukko1[TOIMINTA],"b)*",Taulukko1[Ikäryhmä],"i)*")</f>
        <v>0</v>
      </c>
      <c r="C97" s="48" t="e">
        <f>(SUMIFS(Taulukko1[Tapahtumien määrä], Taulukko1[TOIMINTA],"b)*",Taulukko1[Ikäryhmä],"i)*"))/SUMIF(Taulukko1[TOIMINTA],"b)*",Taulukko1[Tapahtumien määrä])</f>
        <v>#DIV/0!</v>
      </c>
      <c r="D97" s="71" t="e">
        <f>AVERAGEIFS(Taulukko1[Kesto (min) / tapaaminen],Taulukko1[TOIMINTA],"b)*",Taulukko1[Ikäryhmä],"i)*")</f>
        <v>#DIV/0!</v>
      </c>
      <c r="E97" s="72">
        <f>(SUMIFS(Taulukko1[Kokonaiskesto (min)], Taulukko1[TOIMINTA],"b)*",Taulukko1[Ikäryhmä],"i)*"))/60</f>
        <v>0</v>
      </c>
      <c r="F97" s="70">
        <f>SUMIFS(Taulukko1[Tapaamiskerrat /lapsi], Taulukko1[TOIMINTA],"b)*",Taulukko1[Ikäryhmä],"i)*")</f>
        <v>0</v>
      </c>
      <c r="G97" s="71">
        <f>SUMIFS(Taulukko1[Kävijämäärä a) lapset], Taulukko1[TOIMINTA],"b)*",Taulukko1[Ikäryhmä],"i)*")</f>
        <v>0</v>
      </c>
      <c r="H97" s="71">
        <f>SUMIFS(Taulukko1[Kävijämäärä b) aikuiset], Taulukko1[TOIMINTA],"b)*",Taulukko1[Ikäryhmä],"i)*")</f>
        <v>0</v>
      </c>
      <c r="I97" s="71">
        <f>SUMIFS(Taulukko1[Kokonaiskävijämäärä], Taulukko1[TOIMINTA],"b)*",Taulukko1[Ikäryhmä],"i)*")</f>
        <v>0</v>
      </c>
      <c r="J97" s="71" t="e">
        <f>AVERAGEIFS(Taulukko1[Kokonaiskävijämäärä], Taulukko1[TOIMINTA],"b)*",Taulukko1[Ikäryhmä],"i)*")</f>
        <v>#DIV/0!</v>
      </c>
      <c r="K97" s="71">
        <f>SUMIFS(Taulukko1[Asiakaskontakti (lkm)], Taulukko1[TOIMINTA],"b)*",Taulukko1[Ikäryhmä],"i)*")</f>
        <v>0</v>
      </c>
      <c r="L97" s="48" t="e">
        <f>(SUMIFS(Taulukko1[Asiakaskontakti (lkm)], Taulukko1[TOIMINTA],"b)*",Taulukko1[Ikäryhmä],"i)*"))/(SUMIF(Taulukko1[TOIMINTA],"b)*",Taulukko1[Asiakaskontakti (lkm)]))</f>
        <v>#DIV/0!</v>
      </c>
      <c r="M97" s="91" t="s">
        <v>100</v>
      </c>
    </row>
    <row r="98" spans="1:13" x14ac:dyDescent="0.25">
      <c r="A98" s="55" t="s">
        <v>104</v>
      </c>
      <c r="B98" s="71">
        <f>SUMIFS(Taulukko1[Tapahtumien määrä], Taulukko1[TOIMINTA],"b)*",Taulukko1[Ikäryhmä],"j)*")</f>
        <v>0</v>
      </c>
      <c r="C98" s="48" t="e">
        <f>(SUMIFS(Taulukko1[Tapahtumien määrä], Taulukko1[TOIMINTA],"b)*",Taulukko1[Ikäryhmä],"j)*"))/SUMIF(Taulukko1[TOIMINTA],"b)*",Taulukko1[Tapahtumien määrä])</f>
        <v>#DIV/0!</v>
      </c>
      <c r="D98" s="71" t="e">
        <f>AVERAGEIFS(Taulukko1[Kesto (min) / tapaaminen],Taulukko1[TOIMINTA],"b)*",Taulukko1[Ikäryhmä],"j)*")</f>
        <v>#DIV/0!</v>
      </c>
      <c r="E98" s="72">
        <f>(SUMIFS(Taulukko1[Kokonaiskesto (min)], Taulukko1[TOIMINTA],"b)*",Taulukko1[Ikäryhmä],"j)*"))/60</f>
        <v>0</v>
      </c>
      <c r="F98" s="70">
        <f>SUMIFS(Taulukko1[Tapaamiskerrat /lapsi], Taulukko1[TOIMINTA],"b)*",Taulukko1[Ikäryhmä],"j)*")</f>
        <v>0</v>
      </c>
      <c r="G98" s="71">
        <f>SUMIFS(Taulukko1[Kävijämäärä a) lapset], Taulukko1[TOIMINTA],"b)*",Taulukko1[Ikäryhmä],"j)*")</f>
        <v>0</v>
      </c>
      <c r="H98" s="71">
        <f>SUMIFS(Taulukko1[Kävijämäärä b) aikuiset], Taulukko1[TOIMINTA],"b)*",Taulukko1[Ikäryhmä],"j)*")</f>
        <v>0</v>
      </c>
      <c r="I98" s="71">
        <f>SUMIFS(Taulukko1[Kokonaiskävijämäärä], Taulukko1[TOIMINTA],"b)*",Taulukko1[Ikäryhmä],"j)*")</f>
        <v>0</v>
      </c>
      <c r="J98" s="71" t="e">
        <f>AVERAGEIFS(Taulukko1[Kokonaiskävijämäärä], Taulukko1[TOIMINTA],"b)*",Taulukko1[Ikäryhmä],"j)*")</f>
        <v>#DIV/0!</v>
      </c>
      <c r="K98" s="71">
        <f>SUMIFS(Taulukko1[Asiakaskontakti (lkm)], Taulukko1[TOIMINTA],"b)*",Taulukko1[Ikäryhmä],"j)*")</f>
        <v>0</v>
      </c>
      <c r="L98" s="48" t="e">
        <f>(SUMIFS(Taulukko1[Asiakaskontakti (lkm)], Taulukko1[TOIMINTA],"b)*",Taulukko1[Ikäryhmä],"j)*"))/(SUMIF(Taulukko1[TOIMINTA],"b)*",Taulukko1[Asiakaskontakti (lkm)]))</f>
        <v>#DIV/0!</v>
      </c>
      <c r="M98" s="91" t="s">
        <v>104</v>
      </c>
    </row>
    <row r="99" spans="1:13" x14ac:dyDescent="0.25">
      <c r="A99" s="55" t="s">
        <v>101</v>
      </c>
      <c r="B99" s="71">
        <f>SUMIFS(Taulukko1[Tapahtumien määrä], Taulukko1[TOIMINTA],"b)*",Taulukko1[Ikäryhmä],"k)*")</f>
        <v>0</v>
      </c>
      <c r="C99" s="48" t="e">
        <f>(SUMIFS(Taulukko1[Tapahtumien määrä], Taulukko1[TOIMINTA],"b)*",Taulukko1[Ikäryhmä],"k)*"))/SUMIF(Taulukko1[TOIMINTA],"b)*",Taulukko1[Tapahtumien määrä])</f>
        <v>#DIV/0!</v>
      </c>
      <c r="D99" s="71" t="e">
        <f>AVERAGEIFS(Taulukko1[Kesto (min) / tapaaminen],Taulukko1[TOIMINTA],"b)*",Taulukko1[Ikäryhmä],"k)*")</f>
        <v>#DIV/0!</v>
      </c>
      <c r="E99" s="72">
        <f>(SUMIFS(Taulukko1[Kokonaiskesto (min)], Taulukko1[TOIMINTA],"b)*",Taulukko1[Ikäryhmä],"k)*"))/60</f>
        <v>0</v>
      </c>
      <c r="F99" s="70">
        <f>SUMIFS(Taulukko1[Tapaamiskerrat /lapsi], Taulukko1[TOIMINTA],"b)*",Taulukko1[Ikäryhmä],"k)*")</f>
        <v>0</v>
      </c>
      <c r="G99" s="71">
        <f>SUMIFS(Taulukko1[Kävijämäärä a) lapset], Taulukko1[TOIMINTA],"b)*",Taulukko1[Ikäryhmä],"k)*")</f>
        <v>0</v>
      </c>
      <c r="H99" s="71">
        <f>SUMIFS(Taulukko1[Kävijämäärä b) aikuiset], Taulukko1[TOIMINTA],"b)*",Taulukko1[Ikäryhmä],"k)*")</f>
        <v>0</v>
      </c>
      <c r="I99" s="71">
        <f>SUMIFS(Taulukko1[Kokonaiskävijämäärä], Taulukko1[TOIMINTA],"b)*",Taulukko1[Ikäryhmä],"k)*")</f>
        <v>0</v>
      </c>
      <c r="J99" s="71" t="e">
        <f>AVERAGEIFS(Taulukko1[Kokonaiskävijämäärä], Taulukko1[TOIMINTA],"b)*",Taulukko1[Ikäryhmä],"k)*")</f>
        <v>#DIV/0!</v>
      </c>
      <c r="K99" s="71">
        <f>SUMIFS(Taulukko1[Asiakaskontakti (lkm)], Taulukko1[TOIMINTA],"b)*",Taulukko1[Ikäryhmä],"k)*")</f>
        <v>0</v>
      </c>
      <c r="L99" s="48" t="e">
        <f>(SUMIFS(Taulukko1[Asiakaskontakti (lkm)], Taulukko1[TOIMINTA],"b)*",Taulukko1[Ikäryhmä],"k)*"))/(SUMIF(Taulukko1[TOIMINTA],"b)*",Taulukko1[Asiakaskontakti (lkm)]))</f>
        <v>#DIV/0!</v>
      </c>
      <c r="M99" s="91" t="s">
        <v>101</v>
      </c>
    </row>
    <row r="100" spans="1:13" x14ac:dyDescent="0.25">
      <c r="A100" s="55" t="s">
        <v>102</v>
      </c>
      <c r="B100" s="71">
        <f>SUMIFS(Taulukko1[Tapahtumien määrä], Taulukko1[TOIMINTA],"b)*",Taulukko1[Ikäryhmä],"l)*")</f>
        <v>0</v>
      </c>
      <c r="C100" s="48" t="e">
        <f>(SUMIFS(Taulukko1[Tapahtumien määrä], Taulukko1[TOIMINTA],"b)*",Taulukko1[Ikäryhmä],"l)*"))/SUMIF(Taulukko1[TOIMINTA],"b)*",Taulukko1[Tapahtumien määrä])</f>
        <v>#DIV/0!</v>
      </c>
      <c r="D100" s="71" t="e">
        <f>AVERAGEIFS(Taulukko1[Kesto (min) / tapaaminen],Taulukko1[TOIMINTA],"b)*",Taulukko1[Ikäryhmä],"l)*")</f>
        <v>#DIV/0!</v>
      </c>
      <c r="E100" s="72">
        <f>(SUMIFS(Taulukko1[Kokonaiskesto (min)], Taulukko1[TOIMINTA],"b)*",Taulukko1[Ikäryhmä],"l)*"))/60</f>
        <v>0</v>
      </c>
      <c r="F100" s="70">
        <f>SUMIFS(Taulukko1[Tapaamiskerrat /lapsi], Taulukko1[TOIMINTA],"b)*",Taulukko1[Ikäryhmä],"l)*")</f>
        <v>0</v>
      </c>
      <c r="G100" s="71">
        <f>SUMIFS(Taulukko1[Kävijämäärä a) lapset], Taulukko1[TOIMINTA],"b)*",Taulukko1[Ikäryhmä],"l)*")</f>
        <v>0</v>
      </c>
      <c r="H100" s="71">
        <f>SUMIFS(Taulukko1[Kävijämäärä b) aikuiset], Taulukko1[TOIMINTA],"b)*",Taulukko1[Ikäryhmä],"l)*")</f>
        <v>0</v>
      </c>
      <c r="I100" s="71">
        <f>SUMIFS(Taulukko1[Kokonaiskävijämäärä], Taulukko1[TOIMINTA],"b)*",Taulukko1[Ikäryhmä],"l)*")</f>
        <v>0</v>
      </c>
      <c r="J100" s="71" t="e">
        <f>AVERAGEIFS(Taulukko1[Kokonaiskävijämäärä], Taulukko1[TOIMINTA],"b)*",Taulukko1[Ikäryhmä],"l)*")</f>
        <v>#DIV/0!</v>
      </c>
      <c r="K100" s="71">
        <f>SUMIFS(Taulukko1[Asiakaskontakti (lkm)], Taulukko1[TOIMINTA],"b)*",Taulukko1[Ikäryhmä],"l)*")</f>
        <v>0</v>
      </c>
      <c r="L100" s="48" t="e">
        <f>(SUMIFS(Taulukko1[Asiakaskontakti (lkm)], Taulukko1[TOIMINTA],"b)*",Taulukko1[Ikäryhmä],"l)*"))/(SUMIF(Taulukko1[TOIMINTA],"b)*",Taulukko1[Asiakaskontakti (lkm)]))</f>
        <v>#DIV/0!</v>
      </c>
      <c r="M100" s="91" t="s">
        <v>102</v>
      </c>
    </row>
    <row r="101" spans="1:13" x14ac:dyDescent="0.25">
      <c r="A101" s="55" t="s">
        <v>194</v>
      </c>
      <c r="B101" s="71">
        <f>SUMIFS(Taulukko1[Tapahtumien määrä], Taulukko1[TOIMINTA],"b)*",Taulukko1[Ikäryhmä],"m)*")</f>
        <v>0</v>
      </c>
      <c r="C101" s="48" t="e">
        <f>(SUMIFS(Taulukko1[Tapahtumien määrä], Taulukko1[TOIMINTA],"b)*",Taulukko1[Ikäryhmä],"m)*"))/SUMIF(Taulukko1[TOIMINTA],"b)*",Taulukko1[Tapahtumien määrä])</f>
        <v>#DIV/0!</v>
      </c>
      <c r="D101" s="71" t="e">
        <f>AVERAGEIFS(Taulukko1[Kesto (min) / tapaaminen],Taulukko1[TOIMINTA],"b)*",Taulukko1[Ikäryhmä],"m)*")</f>
        <v>#DIV/0!</v>
      </c>
      <c r="E101" s="72">
        <f>(SUMIFS(Taulukko1[Kokonaiskesto (min)], Taulukko1[TOIMINTA],"b)*",Taulukko1[Ikäryhmä],"m)*"))/60</f>
        <v>0</v>
      </c>
      <c r="F101" s="70">
        <f>SUMIFS(Taulukko1[Tapaamiskerrat /lapsi], Taulukko1[TOIMINTA],"b)*",Taulukko1[Ikäryhmä],"m)*")</f>
        <v>0</v>
      </c>
      <c r="G101" s="71">
        <f>SUMIFS(Taulukko1[Kävijämäärä a) lapset], Taulukko1[TOIMINTA],"b)*",Taulukko1[Ikäryhmä],"m)*")</f>
        <v>0</v>
      </c>
      <c r="H101" s="71">
        <f>SUMIFS(Taulukko1[Kävijämäärä b) aikuiset], Taulukko1[TOIMINTA],"b)*",Taulukko1[Ikäryhmä],"m)*")</f>
        <v>0</v>
      </c>
      <c r="I101" s="71">
        <f>SUMIFS(Taulukko1[Kokonaiskävijämäärä], Taulukko1[TOIMINTA],"b)*",Taulukko1[Ikäryhmä],"m)*")</f>
        <v>0</v>
      </c>
      <c r="J101" s="71" t="e">
        <f>AVERAGEIFS(Taulukko1[Kokonaiskävijämäärä], Taulukko1[TOIMINTA],"b)*",Taulukko1[Ikäryhmä],"m)*")</f>
        <v>#DIV/0!</v>
      </c>
      <c r="K101" s="71">
        <f>SUMIFS(Taulukko1[Asiakaskontakti (lkm)], Taulukko1[TOIMINTA],"b)*",Taulukko1[Ikäryhmä],"m)*")</f>
        <v>0</v>
      </c>
      <c r="L101" s="48" t="e">
        <f>(SUMIFS(Taulukko1[Asiakaskontakti (lkm)], Taulukko1[TOIMINTA],"b)*",Taulukko1[Ikäryhmä],"m)*"))/(SUMIF(Taulukko1[TOIMINTA],"b)*",Taulukko1[Asiakaskontakti (lkm)]))</f>
        <v>#DIV/0!</v>
      </c>
      <c r="M101" s="91" t="s">
        <v>194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M6"/>
  <sheetViews>
    <sheetView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20.85546875" style="129" customWidth="1"/>
    <col min="2" max="2" width="29.140625" style="129" customWidth="1"/>
    <col min="3" max="3" width="22.28515625" style="129" customWidth="1"/>
    <col min="4" max="4" width="16.140625" style="129" customWidth="1"/>
    <col min="5" max="5" width="30.28515625" style="129" customWidth="1"/>
    <col min="6" max="13" width="16.140625" style="129" customWidth="1"/>
    <col min="14" max="16384" width="9.140625" style="129"/>
  </cols>
  <sheetData>
    <row r="1" spans="1:13" s="120" customFormat="1" ht="12.75" x14ac:dyDescent="0.2">
      <c r="A1" s="119" t="s">
        <v>60</v>
      </c>
      <c r="B1" s="119" t="s">
        <v>46</v>
      </c>
      <c r="C1" s="119" t="s">
        <v>47</v>
      </c>
      <c r="D1" s="119" t="s">
        <v>48</v>
      </c>
      <c r="E1" s="119" t="s">
        <v>49</v>
      </c>
      <c r="F1" s="119" t="s">
        <v>50</v>
      </c>
      <c r="G1" s="119" t="s">
        <v>51</v>
      </c>
      <c r="H1" s="119" t="s">
        <v>52</v>
      </c>
      <c r="I1" s="119" t="s">
        <v>53</v>
      </c>
      <c r="J1" s="119" t="s">
        <v>54</v>
      </c>
      <c r="K1" s="119" t="s">
        <v>55</v>
      </c>
      <c r="L1" s="119" t="s">
        <v>56</v>
      </c>
      <c r="M1" s="119" t="s">
        <v>57</v>
      </c>
    </row>
    <row r="2" spans="1:13" s="120" customFormat="1" ht="91.5" x14ac:dyDescent="0.25">
      <c r="A2" s="121" t="s">
        <v>157</v>
      </c>
      <c r="B2" s="122" t="s">
        <v>203</v>
      </c>
      <c r="C2" s="122" t="s">
        <v>58</v>
      </c>
      <c r="D2" s="122" t="s">
        <v>58</v>
      </c>
      <c r="E2" s="122" t="s">
        <v>204</v>
      </c>
      <c r="F2" s="122" t="s">
        <v>58</v>
      </c>
      <c r="G2" s="122" t="s">
        <v>131</v>
      </c>
      <c r="H2" s="122" t="s">
        <v>58</v>
      </c>
      <c r="I2" s="122" t="s">
        <v>58</v>
      </c>
      <c r="J2" s="122" t="s">
        <v>58</v>
      </c>
      <c r="K2" s="122" t="s">
        <v>132</v>
      </c>
      <c r="L2" s="122" t="s">
        <v>58</v>
      </c>
      <c r="M2" s="122" t="s">
        <v>198</v>
      </c>
    </row>
    <row r="3" spans="1:13" s="120" customFormat="1" ht="25.5" x14ac:dyDescent="0.2">
      <c r="A3" s="123" t="s">
        <v>59</v>
      </c>
      <c r="B3" s="124"/>
      <c r="C3" s="124"/>
      <c r="D3" s="124"/>
      <c r="E3" s="125"/>
      <c r="F3" s="125"/>
      <c r="G3" s="124"/>
      <c r="H3" s="124"/>
      <c r="I3" s="124"/>
      <c r="J3" s="124"/>
      <c r="K3" s="124"/>
      <c r="L3" s="124"/>
      <c r="M3" s="124"/>
    </row>
    <row r="4" spans="1:13" s="120" customFormat="1" ht="54" customHeight="1" x14ac:dyDescent="0.25">
      <c r="A4" s="126" t="s">
        <v>61</v>
      </c>
      <c r="B4" s="122"/>
      <c r="C4" s="122" t="s">
        <v>154</v>
      </c>
      <c r="D4" s="127"/>
      <c r="E4" s="122" t="s">
        <v>158</v>
      </c>
      <c r="F4" s="122" t="s">
        <v>155</v>
      </c>
      <c r="G4" s="122"/>
      <c r="H4" s="122"/>
      <c r="I4" s="122"/>
      <c r="J4" s="122"/>
      <c r="K4" s="122"/>
      <c r="L4" s="122"/>
      <c r="M4" s="122"/>
    </row>
    <row r="5" spans="1:13" s="120" customFormat="1" ht="38.25" x14ac:dyDescent="0.2">
      <c r="A5" s="123" t="s">
        <v>62</v>
      </c>
      <c r="B5" s="124"/>
      <c r="C5" s="128" t="s">
        <v>133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120" customFormat="1" ht="51" x14ac:dyDescent="0.2">
      <c r="A6" s="126" t="s">
        <v>156</v>
      </c>
      <c r="B6" s="122"/>
      <c r="C6" s="122"/>
      <c r="D6" s="122"/>
      <c r="E6" s="122"/>
      <c r="F6" s="122" t="s">
        <v>86</v>
      </c>
      <c r="G6" s="122"/>
      <c r="H6" s="122"/>
      <c r="I6" s="122"/>
      <c r="J6" s="122"/>
      <c r="K6" s="122"/>
      <c r="L6" s="122"/>
      <c r="M6" s="12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E271"/>
  <sheetViews>
    <sheetView workbookViewId="0">
      <selection activeCell="A6" sqref="A6"/>
    </sheetView>
  </sheetViews>
  <sheetFormatPr defaultRowHeight="15" x14ac:dyDescent="0.25"/>
  <cols>
    <col min="1" max="1" width="24.42578125" customWidth="1"/>
    <col min="2" max="3" width="9.140625" customWidth="1"/>
  </cols>
  <sheetData>
    <row r="1" spans="1:5" ht="23.25" x14ac:dyDescent="0.35">
      <c r="A1" s="145" t="s">
        <v>134</v>
      </c>
      <c r="B1" s="93"/>
      <c r="C1" s="93"/>
    </row>
    <row r="2" spans="1:5" ht="18.75" x14ac:dyDescent="0.3">
      <c r="A2" s="96" t="s">
        <v>135</v>
      </c>
      <c r="B2" s="96"/>
      <c r="C2" s="96"/>
      <c r="D2" s="96"/>
      <c r="E2" s="96"/>
    </row>
    <row r="3" spans="1:5" ht="18.75" x14ac:dyDescent="0.3">
      <c r="A3" s="146">
        <v>2018</v>
      </c>
    </row>
    <row r="4" spans="1:5" s="92" customFormat="1" ht="18.75" x14ac:dyDescent="0.3">
      <c r="A4" s="97"/>
    </row>
    <row r="5" spans="1:5" x14ac:dyDescent="0.25">
      <c r="A5" t="s">
        <v>196</v>
      </c>
    </row>
    <row r="6" spans="1:5" x14ac:dyDescent="0.25">
      <c r="A6" t="s">
        <v>202</v>
      </c>
    </row>
    <row r="7" spans="1:5" x14ac:dyDescent="0.25">
      <c r="A7" s="93"/>
      <c r="B7" s="93"/>
      <c r="C7" s="93"/>
      <c r="D7" s="93"/>
    </row>
    <row r="12" spans="1:5" s="92" customFormat="1" x14ac:dyDescent="0.25"/>
    <row r="14" spans="1:5" ht="15.75" x14ac:dyDescent="0.25">
      <c r="A14" s="94"/>
      <c r="B14" s="94"/>
      <c r="C14" s="94"/>
      <c r="D14" s="94"/>
    </row>
    <row r="61" s="92" customFormat="1" x14ac:dyDescent="0.25"/>
    <row r="65" spans="1:1" s="92" customFormat="1" x14ac:dyDescent="0.25"/>
    <row r="66" spans="1:1" s="92" customFormat="1" x14ac:dyDescent="0.25"/>
    <row r="67" spans="1:1" s="92" customFormat="1" x14ac:dyDescent="0.25"/>
    <row r="68" spans="1:1" x14ac:dyDescent="0.25">
      <c r="A68" s="92"/>
    </row>
    <row r="69" spans="1:1" x14ac:dyDescent="0.25">
      <c r="A69" s="92"/>
    </row>
    <row r="70" spans="1:1" x14ac:dyDescent="0.25">
      <c r="A70" s="92"/>
    </row>
    <row r="71" spans="1:1" x14ac:dyDescent="0.25">
      <c r="A71" s="92"/>
    </row>
    <row r="72" spans="1:1" x14ac:dyDescent="0.25">
      <c r="A72" s="92"/>
    </row>
    <row r="73" spans="1:1" x14ac:dyDescent="0.25">
      <c r="A73" s="92"/>
    </row>
    <row r="74" spans="1:1" x14ac:dyDescent="0.25">
      <c r="A74" s="92"/>
    </row>
    <row r="75" spans="1:1" s="92" customFormat="1" x14ac:dyDescent="0.25"/>
    <row r="76" spans="1:1" x14ac:dyDescent="0.25">
      <c r="A76" s="92"/>
    </row>
    <row r="77" spans="1:1" x14ac:dyDescent="0.25">
      <c r="A77" s="92"/>
    </row>
    <row r="78" spans="1:1" x14ac:dyDescent="0.25">
      <c r="A78" s="92"/>
    </row>
    <row r="161" spans="1:1" x14ac:dyDescent="0.25">
      <c r="A161" s="93"/>
    </row>
    <row r="162" spans="1:1" x14ac:dyDescent="0.25">
      <c r="A162" s="93"/>
    </row>
    <row r="163" spans="1:1" x14ac:dyDescent="0.25">
      <c r="A163" s="93"/>
    </row>
    <row r="164" spans="1:1" x14ac:dyDescent="0.25">
      <c r="A164" s="93"/>
    </row>
    <row r="165" spans="1:1" x14ac:dyDescent="0.25">
      <c r="A165" s="93"/>
    </row>
    <row r="166" spans="1:1" x14ac:dyDescent="0.25">
      <c r="A166" s="93"/>
    </row>
    <row r="167" spans="1:1" x14ac:dyDescent="0.25">
      <c r="A167" s="93"/>
    </row>
    <row r="177" spans="1:4" ht="18.75" x14ac:dyDescent="0.3">
      <c r="A177" s="93"/>
      <c r="B177" s="100"/>
      <c r="C177" s="100"/>
      <c r="D177" s="100"/>
    </row>
    <row r="178" spans="1:4" x14ac:dyDescent="0.25">
      <c r="A178" s="93"/>
    </row>
    <row r="179" spans="1:4" x14ac:dyDescent="0.25">
      <c r="A179" s="93"/>
    </row>
    <row r="180" spans="1:4" x14ac:dyDescent="0.25">
      <c r="A180" s="93"/>
    </row>
    <row r="181" spans="1:4" x14ac:dyDescent="0.25">
      <c r="A181" s="93"/>
    </row>
    <row r="182" spans="1:4" ht="15.75" x14ac:dyDescent="0.25">
      <c r="B182" s="95"/>
      <c r="C182" s="95"/>
      <c r="D182" s="95"/>
    </row>
    <row r="187" spans="1:4" ht="18.75" x14ac:dyDescent="0.3">
      <c r="A187" s="99"/>
    </row>
    <row r="192" spans="1:4" x14ac:dyDescent="0.25">
      <c r="A192" s="101"/>
    </row>
    <row r="216" spans="1:1" x14ac:dyDescent="0.25">
      <c r="A216" s="93"/>
    </row>
    <row r="217" spans="1:1" x14ac:dyDescent="0.25">
      <c r="A217" s="93"/>
    </row>
    <row r="218" spans="1:1" x14ac:dyDescent="0.25">
      <c r="A218" s="93"/>
    </row>
    <row r="254" spans="1:2" s="92" customFormat="1" x14ac:dyDescent="0.25">
      <c r="A254" s="93"/>
    </row>
    <row r="255" spans="1:2" s="92" customFormat="1" x14ac:dyDescent="0.25">
      <c r="A255" s="93"/>
    </row>
    <row r="256" spans="1:2" x14ac:dyDescent="0.25">
      <c r="A256" s="93"/>
      <c r="B256" s="98"/>
    </row>
    <row r="264" spans="1:1" x14ac:dyDescent="0.25">
      <c r="A264" s="92"/>
    </row>
    <row r="265" spans="1:1" x14ac:dyDescent="0.25">
      <c r="A265" s="92"/>
    </row>
    <row r="266" spans="1:1" ht="18.75" x14ac:dyDescent="0.3">
      <c r="A266" s="99"/>
    </row>
    <row r="271" spans="1:1" ht="18.75" x14ac:dyDescent="0.3">
      <c r="A271" s="99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TOIMINTATIETOLOMAKE</vt:lpstr>
      <vt:lpstr>PERUSTIETOLOMAKE</vt:lpstr>
      <vt:lpstr>YHTEENVETO koko toiminta</vt:lpstr>
      <vt:lpstr>VUOSIKELLO</vt:lpstr>
      <vt:lpstr>OHJEET JA MÄÄRITELMÄT</vt:lpstr>
      <vt:lpstr>'OHJEET JA MÄÄRITELMÄT'!_GoBack</vt:lpstr>
      <vt:lpstr>ListBoxOutput</vt:lpstr>
    </vt:vector>
  </TitlesOfParts>
  <Company>Hämeenlinnan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Herranen Noora</dc:creator>
  <cp:lastModifiedBy>Elina</cp:lastModifiedBy>
  <dcterms:created xsi:type="dcterms:W3CDTF">2016-02-09T07:26:49Z</dcterms:created>
  <dcterms:modified xsi:type="dcterms:W3CDTF">2018-01-17T15:12:48Z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