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Elina\Google Drive\Koko tietokone 2016\Suomen lastenkulttuurikeskusten liitto\Tilastot\"/>
    </mc:Choice>
  </mc:AlternateContent>
  <bookViews>
    <workbookView xWindow="0" yWindow="0" windowWidth="28800" windowHeight="11610"/>
  </bookViews>
  <sheets>
    <sheet name="TOIMINTATIETOLOMAKE" sheetId="4" r:id="rId1"/>
    <sheet name="PERUSTIETOLOMAKE" sheetId="2" r:id="rId2"/>
    <sheet name="YHTEENVETO koko toiminta" sheetId="1" r:id="rId3"/>
    <sheet name="VUOSIKELLO" sheetId="6" r:id="rId4"/>
    <sheet name="OHJEET JA MÄÄRITELMÄT" sheetId="8" r:id="rId5"/>
  </sheets>
  <definedNames>
    <definedName name="_GoBack" localSheetId="4">'OHJEET JA MÄÄRITELMÄT'!$A$226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4" l="1"/>
  <c r="B73" i="1" l="1"/>
  <c r="K82" i="1" l="1"/>
  <c r="K81" i="1"/>
  <c r="K80" i="1"/>
  <c r="K79" i="1"/>
  <c r="K83" i="1"/>
  <c r="K85" i="1"/>
  <c r="K84" i="1"/>
  <c r="K78" i="1"/>
  <c r="K77" i="1"/>
  <c r="K74" i="1"/>
  <c r="J85" i="1"/>
  <c r="J84" i="1"/>
  <c r="J83" i="1"/>
  <c r="J82" i="1"/>
  <c r="J81" i="1"/>
  <c r="J80" i="1"/>
  <c r="J79" i="1"/>
  <c r="J78" i="1"/>
  <c r="J77" i="1"/>
  <c r="J74" i="1"/>
  <c r="I85" i="1"/>
  <c r="I84" i="1"/>
  <c r="I83" i="1"/>
  <c r="I82" i="1"/>
  <c r="I81" i="1"/>
  <c r="I80" i="1"/>
  <c r="I79" i="1"/>
  <c r="I78" i="1"/>
  <c r="I77" i="1"/>
  <c r="I74" i="1"/>
  <c r="H85" i="1"/>
  <c r="H84" i="1"/>
  <c r="H83" i="1"/>
  <c r="H82" i="1"/>
  <c r="H81" i="1"/>
  <c r="H80" i="1"/>
  <c r="H79" i="1"/>
  <c r="H78" i="1"/>
  <c r="H77" i="1"/>
  <c r="H76" i="1"/>
  <c r="H75" i="1"/>
  <c r="H74" i="1"/>
  <c r="G85" i="1"/>
  <c r="G84" i="1"/>
  <c r="G83" i="1"/>
  <c r="G82" i="1"/>
  <c r="G81" i="1"/>
  <c r="G80" i="1"/>
  <c r="G79" i="1"/>
  <c r="G78" i="1"/>
  <c r="G77" i="1"/>
  <c r="G76" i="1"/>
  <c r="G75" i="1"/>
  <c r="G74" i="1"/>
  <c r="H73" i="1"/>
  <c r="G73" i="1"/>
  <c r="F85" i="1"/>
  <c r="F84" i="1"/>
  <c r="F83" i="1"/>
  <c r="F82" i="1"/>
  <c r="F81" i="1"/>
  <c r="F80" i="1"/>
  <c r="F79" i="1"/>
  <c r="F78" i="1"/>
  <c r="F77" i="1"/>
  <c r="F76" i="1"/>
  <c r="F75" i="1"/>
  <c r="F74" i="1"/>
  <c r="F73" i="1"/>
  <c r="E85" i="1"/>
  <c r="E84" i="1"/>
  <c r="E83" i="1"/>
  <c r="E82" i="1"/>
  <c r="E81" i="1"/>
  <c r="E80" i="1"/>
  <c r="E79" i="1"/>
  <c r="E78" i="1"/>
  <c r="E77" i="1"/>
  <c r="E74" i="1"/>
  <c r="D85" i="1"/>
  <c r="D84" i="1"/>
  <c r="D83" i="1"/>
  <c r="D82" i="1"/>
  <c r="D81" i="1"/>
  <c r="D80" i="1"/>
  <c r="D79" i="1"/>
  <c r="D78" i="1"/>
  <c r="D77" i="1"/>
  <c r="D76" i="1"/>
  <c r="D75" i="1"/>
  <c r="D74" i="1"/>
  <c r="D73" i="1"/>
  <c r="C73" i="1"/>
  <c r="C85" i="1"/>
  <c r="C84" i="1"/>
  <c r="C83" i="1"/>
  <c r="C82" i="1"/>
  <c r="C81" i="1"/>
  <c r="C80" i="1"/>
  <c r="C79" i="1"/>
  <c r="C78" i="1"/>
  <c r="C77" i="1"/>
  <c r="C76" i="1"/>
  <c r="C75" i="1"/>
  <c r="C74" i="1"/>
  <c r="B72" i="1"/>
  <c r="B85" i="1"/>
  <c r="B84" i="1"/>
  <c r="B83" i="1"/>
  <c r="B82" i="1"/>
  <c r="B81" i="1"/>
  <c r="B80" i="1"/>
  <c r="B79" i="1"/>
  <c r="B78" i="1"/>
  <c r="B77" i="1"/>
  <c r="B76" i="1"/>
  <c r="B75" i="1"/>
  <c r="B74" i="1"/>
  <c r="H72" i="1"/>
  <c r="G72" i="1"/>
  <c r="F72" i="1"/>
  <c r="D72" i="1"/>
  <c r="C72" i="1"/>
  <c r="K67" i="1"/>
  <c r="K66" i="1"/>
  <c r="K65" i="1"/>
  <c r="K64" i="1"/>
  <c r="K63" i="1"/>
  <c r="K62" i="1"/>
  <c r="K61" i="1"/>
  <c r="K60" i="1"/>
  <c r="J67" i="1"/>
  <c r="J66" i="1"/>
  <c r="J65" i="1"/>
  <c r="J64" i="1"/>
  <c r="J63" i="1"/>
  <c r="J62" i="1"/>
  <c r="J61" i="1"/>
  <c r="J60" i="1"/>
  <c r="I67" i="1"/>
  <c r="I66" i="1"/>
  <c r="I65" i="1"/>
  <c r="I64" i="1"/>
  <c r="I63" i="1"/>
  <c r="I62" i="1"/>
  <c r="I61" i="1"/>
  <c r="I60" i="1"/>
  <c r="H66" i="1"/>
  <c r="H65" i="1"/>
  <c r="H64" i="1"/>
  <c r="H67" i="1"/>
  <c r="H63" i="1"/>
  <c r="H62" i="1"/>
  <c r="H61" i="1"/>
  <c r="H60" i="1"/>
  <c r="G67" i="1"/>
  <c r="G66" i="1"/>
  <c r="G65" i="1"/>
  <c r="G64" i="1"/>
  <c r="G63" i="1"/>
  <c r="G62" i="1"/>
  <c r="G61" i="1"/>
  <c r="G60" i="1"/>
  <c r="F67" i="1"/>
  <c r="F66" i="1"/>
  <c r="F65" i="1"/>
  <c r="F64" i="1"/>
  <c r="F63" i="1"/>
  <c r="F62" i="1"/>
  <c r="F61" i="1"/>
  <c r="F60" i="1"/>
  <c r="E67" i="1"/>
  <c r="E66" i="1"/>
  <c r="E65" i="1"/>
  <c r="E64" i="1"/>
  <c r="E63" i="1"/>
  <c r="E62" i="1"/>
  <c r="E61" i="1"/>
  <c r="E60" i="1"/>
  <c r="D67" i="1"/>
  <c r="D66" i="1"/>
  <c r="D65" i="1"/>
  <c r="D64" i="1"/>
  <c r="D63" i="1"/>
  <c r="D62" i="1"/>
  <c r="D61" i="1"/>
  <c r="D60" i="1"/>
  <c r="C67" i="1"/>
  <c r="C66" i="1"/>
  <c r="C63" i="1"/>
  <c r="C62" i="1"/>
  <c r="C64" i="1"/>
  <c r="C65" i="1"/>
  <c r="C61" i="1"/>
  <c r="C60" i="1"/>
  <c r="B67" i="1"/>
  <c r="B66" i="1"/>
  <c r="B65" i="1"/>
  <c r="B64" i="1"/>
  <c r="B63" i="1"/>
  <c r="B62" i="1"/>
  <c r="B61" i="1"/>
  <c r="B60" i="1"/>
  <c r="K70" i="1"/>
  <c r="J70" i="1"/>
  <c r="I70" i="1"/>
  <c r="H70" i="1"/>
  <c r="G70" i="1"/>
  <c r="F70" i="1"/>
  <c r="E70" i="1"/>
  <c r="D70" i="1"/>
  <c r="C70" i="1"/>
  <c r="B70" i="1"/>
  <c r="K69" i="1"/>
  <c r="J69" i="1"/>
  <c r="I69" i="1"/>
  <c r="H69" i="1"/>
  <c r="G69" i="1"/>
  <c r="F69" i="1"/>
  <c r="E69" i="1"/>
  <c r="D69" i="1"/>
  <c r="C69" i="1"/>
  <c r="B69" i="1"/>
  <c r="K18" i="1"/>
  <c r="J18" i="1"/>
  <c r="I18" i="1"/>
  <c r="H18" i="1"/>
  <c r="G18" i="1"/>
  <c r="F18" i="1"/>
  <c r="E18" i="1"/>
  <c r="D18" i="1"/>
  <c r="C18" i="1"/>
  <c r="B18" i="1"/>
  <c r="K17" i="1" l="1"/>
  <c r="J17" i="1"/>
  <c r="I17" i="1"/>
  <c r="H17" i="1"/>
  <c r="G17" i="1"/>
  <c r="F17" i="1"/>
  <c r="E17" i="1"/>
  <c r="D17" i="1"/>
  <c r="C17" i="1"/>
  <c r="B17" i="1"/>
  <c r="K58" i="1" l="1"/>
  <c r="J58" i="1"/>
  <c r="I58" i="1"/>
  <c r="H58" i="1"/>
  <c r="G58" i="1"/>
  <c r="F58" i="1"/>
  <c r="E58" i="1"/>
  <c r="D58" i="1"/>
  <c r="C58" i="1"/>
  <c r="B58" i="1"/>
  <c r="K57" i="1"/>
  <c r="J57" i="1"/>
  <c r="I57" i="1"/>
  <c r="H57" i="1"/>
  <c r="G57" i="1"/>
  <c r="F57" i="1"/>
  <c r="E57" i="1"/>
  <c r="D57" i="1"/>
  <c r="C57" i="1"/>
  <c r="B57" i="1"/>
  <c r="K56" i="1"/>
  <c r="J56" i="1"/>
  <c r="I56" i="1"/>
  <c r="H56" i="1"/>
  <c r="G56" i="1"/>
  <c r="F56" i="1"/>
  <c r="E56" i="1"/>
  <c r="D56" i="1"/>
  <c r="C56" i="1"/>
  <c r="B56" i="1"/>
  <c r="K55" i="1"/>
  <c r="J55" i="1"/>
  <c r="I55" i="1"/>
  <c r="H55" i="1"/>
  <c r="G55" i="1"/>
  <c r="F55" i="1"/>
  <c r="E55" i="1"/>
  <c r="D55" i="1"/>
  <c r="C55" i="1"/>
  <c r="B55" i="1"/>
  <c r="K54" i="1"/>
  <c r="J54" i="1"/>
  <c r="I54" i="1"/>
  <c r="H54" i="1"/>
  <c r="G54" i="1"/>
  <c r="F54" i="1"/>
  <c r="E54" i="1"/>
  <c r="D54" i="1"/>
  <c r="C54" i="1"/>
  <c r="B54" i="1"/>
  <c r="K53" i="1"/>
  <c r="J53" i="1"/>
  <c r="I53" i="1"/>
  <c r="H53" i="1"/>
  <c r="G53" i="1"/>
  <c r="F53" i="1"/>
  <c r="E53" i="1"/>
  <c r="D53" i="1"/>
  <c r="C53" i="1"/>
  <c r="B53" i="1"/>
  <c r="K52" i="1"/>
  <c r="J52" i="1"/>
  <c r="I52" i="1"/>
  <c r="H52" i="1"/>
  <c r="G52" i="1"/>
  <c r="F52" i="1"/>
  <c r="E52" i="1"/>
  <c r="D52" i="1"/>
  <c r="C52" i="1"/>
  <c r="B52" i="1"/>
  <c r="K51" i="1"/>
  <c r="J51" i="1"/>
  <c r="I51" i="1"/>
  <c r="H51" i="1"/>
  <c r="G51" i="1"/>
  <c r="F51" i="1"/>
  <c r="E51" i="1"/>
  <c r="D51" i="1"/>
  <c r="C51" i="1"/>
  <c r="B51" i="1"/>
  <c r="K49" i="1"/>
  <c r="J49" i="1"/>
  <c r="I49" i="1"/>
  <c r="H49" i="1"/>
  <c r="G49" i="1"/>
  <c r="F49" i="1"/>
  <c r="E49" i="1"/>
  <c r="D49" i="1"/>
  <c r="C49" i="1"/>
  <c r="B49" i="1"/>
  <c r="K48" i="1"/>
  <c r="J48" i="1"/>
  <c r="I48" i="1"/>
  <c r="H48" i="1"/>
  <c r="G48" i="1"/>
  <c r="F48" i="1"/>
  <c r="E48" i="1"/>
  <c r="D48" i="1"/>
  <c r="C48" i="1"/>
  <c r="B48" i="1"/>
  <c r="K47" i="1"/>
  <c r="J47" i="1"/>
  <c r="I47" i="1"/>
  <c r="H47" i="1"/>
  <c r="G47" i="1"/>
  <c r="F47" i="1"/>
  <c r="E47" i="1"/>
  <c r="D47" i="1"/>
  <c r="C47" i="1"/>
  <c r="B47" i="1"/>
  <c r="K45" i="1"/>
  <c r="J45" i="1"/>
  <c r="I45" i="1"/>
  <c r="H45" i="1"/>
  <c r="G45" i="1"/>
  <c r="F45" i="1"/>
  <c r="E45" i="1"/>
  <c r="D45" i="1"/>
  <c r="C45" i="1"/>
  <c r="B45" i="1"/>
  <c r="K44" i="1"/>
  <c r="J44" i="1"/>
  <c r="I44" i="1"/>
  <c r="H44" i="1"/>
  <c r="G44" i="1"/>
  <c r="F44" i="1"/>
  <c r="E44" i="1"/>
  <c r="D44" i="1"/>
  <c r="C44" i="1"/>
  <c r="B44" i="1"/>
  <c r="K43" i="1"/>
  <c r="J43" i="1"/>
  <c r="I43" i="1"/>
  <c r="H43" i="1"/>
  <c r="G43" i="1"/>
  <c r="F43" i="1"/>
  <c r="E43" i="1"/>
  <c r="D43" i="1"/>
  <c r="C43"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H36" i="1"/>
  <c r="G36" i="1"/>
  <c r="F36" i="1"/>
  <c r="D36" i="1"/>
  <c r="C36" i="1"/>
  <c r="B36" i="1"/>
  <c r="H35" i="1"/>
  <c r="G35" i="1"/>
  <c r="F35" i="1"/>
  <c r="D35" i="1"/>
  <c r="C35" i="1"/>
  <c r="B35" i="1"/>
  <c r="K34" i="1"/>
  <c r="J34" i="1"/>
  <c r="I34" i="1"/>
  <c r="H34" i="1"/>
  <c r="G34" i="1"/>
  <c r="F34" i="1"/>
  <c r="E34" i="1"/>
  <c r="D34" i="1"/>
  <c r="C34" i="1"/>
  <c r="B34" i="1"/>
  <c r="H33" i="1"/>
  <c r="G33" i="1"/>
  <c r="F33" i="1"/>
  <c r="D33" i="1"/>
  <c r="C33" i="1"/>
  <c r="B33" i="1"/>
  <c r="K31" i="1"/>
  <c r="J31" i="1"/>
  <c r="I31" i="1"/>
  <c r="H31" i="1"/>
  <c r="G31" i="1"/>
  <c r="F31" i="1"/>
  <c r="E31" i="1"/>
  <c r="D31" i="1"/>
  <c r="C31" i="1"/>
  <c r="B31" i="1"/>
  <c r="K30" i="1"/>
  <c r="J30" i="1"/>
  <c r="I30" i="1"/>
  <c r="H30" i="1"/>
  <c r="G30" i="1"/>
  <c r="F30" i="1"/>
  <c r="E30" i="1"/>
  <c r="D30" i="1"/>
  <c r="C30" i="1"/>
  <c r="B30" i="1"/>
  <c r="K29" i="1"/>
  <c r="J29" i="1"/>
  <c r="I29" i="1"/>
  <c r="H29" i="1"/>
  <c r="G29" i="1"/>
  <c r="F29" i="1"/>
  <c r="E29" i="1"/>
  <c r="D29" i="1"/>
  <c r="C29" i="1"/>
  <c r="B29" i="1"/>
  <c r="K28" i="1"/>
  <c r="J28" i="1"/>
  <c r="I28" i="1"/>
  <c r="H28" i="1"/>
  <c r="G28" i="1"/>
  <c r="F28" i="1"/>
  <c r="E28" i="1"/>
  <c r="D28" i="1"/>
  <c r="C28" i="1"/>
  <c r="B28" i="1"/>
  <c r="K26" i="1"/>
  <c r="J26" i="1"/>
  <c r="I26" i="1"/>
  <c r="H26" i="1"/>
  <c r="G26" i="1"/>
  <c r="F26" i="1"/>
  <c r="E26" i="1"/>
  <c r="D26" i="1"/>
  <c r="C26" i="1"/>
  <c r="B26" i="1"/>
  <c r="K25" i="1"/>
  <c r="J25" i="1"/>
  <c r="I25" i="1"/>
  <c r="H25" i="1"/>
  <c r="G25" i="1"/>
  <c r="F25" i="1"/>
  <c r="E25" i="1"/>
  <c r="D25" i="1"/>
  <c r="C25" i="1"/>
  <c r="B25" i="1"/>
  <c r="K24" i="1"/>
  <c r="J24" i="1"/>
  <c r="I24" i="1"/>
  <c r="H24" i="1"/>
  <c r="G24" i="1"/>
  <c r="F24" i="1"/>
  <c r="E24" i="1"/>
  <c r="D24" i="1"/>
  <c r="C24" i="1"/>
  <c r="B24" i="1"/>
  <c r="K23" i="1"/>
  <c r="J23" i="1"/>
  <c r="I23" i="1"/>
  <c r="H23" i="1"/>
  <c r="G23" i="1"/>
  <c r="F23" i="1"/>
  <c r="E23" i="1"/>
  <c r="D23" i="1"/>
  <c r="C23" i="1"/>
  <c r="B23" i="1"/>
  <c r="K22" i="1"/>
  <c r="J22" i="1"/>
  <c r="I22" i="1"/>
  <c r="H22" i="1"/>
  <c r="G22" i="1"/>
  <c r="F22" i="1"/>
  <c r="E22" i="1"/>
  <c r="D22" i="1"/>
  <c r="C22" i="1"/>
  <c r="B22" i="1"/>
  <c r="K21" i="1"/>
  <c r="J21" i="1"/>
  <c r="I21" i="1"/>
  <c r="H21" i="1"/>
  <c r="G21" i="1"/>
  <c r="F21" i="1"/>
  <c r="E21" i="1"/>
  <c r="D21" i="1"/>
  <c r="C21" i="1"/>
  <c r="B21" i="1"/>
  <c r="K20" i="1"/>
  <c r="J20" i="1"/>
  <c r="I20" i="1"/>
  <c r="H20" i="1"/>
  <c r="G20" i="1"/>
  <c r="F20" i="1"/>
  <c r="E20" i="1"/>
  <c r="D20" i="1"/>
  <c r="C20" i="1"/>
  <c r="B20" i="1"/>
  <c r="K16" i="1"/>
  <c r="J16" i="1"/>
  <c r="I16" i="1"/>
  <c r="H16" i="1"/>
  <c r="G16" i="1"/>
  <c r="F16" i="1"/>
  <c r="E16" i="1"/>
  <c r="D16" i="1"/>
  <c r="C16" i="1"/>
  <c r="B16" i="1"/>
  <c r="K15" i="1"/>
  <c r="J15" i="1"/>
  <c r="I15" i="1"/>
  <c r="H15" i="1"/>
  <c r="G15" i="1"/>
  <c r="F15" i="1"/>
  <c r="E15" i="1"/>
  <c r="D15" i="1"/>
  <c r="C15" i="1"/>
  <c r="B15" i="1"/>
  <c r="K14" i="1"/>
  <c r="J14" i="1"/>
  <c r="I14" i="1"/>
  <c r="H14" i="1"/>
  <c r="G14" i="1"/>
  <c r="F14" i="1"/>
  <c r="E14" i="1"/>
  <c r="D14" i="1"/>
  <c r="C14" i="1"/>
  <c r="B14" i="1"/>
  <c r="H13" i="1"/>
  <c r="G13" i="1"/>
  <c r="F13" i="1"/>
  <c r="D13" i="1"/>
  <c r="C13" i="1"/>
  <c r="B13" i="1"/>
  <c r="K12" i="1"/>
  <c r="J12" i="1"/>
  <c r="I12" i="1"/>
  <c r="H12" i="1"/>
  <c r="G12" i="1"/>
  <c r="F12" i="1"/>
  <c r="E12" i="1"/>
  <c r="D12" i="1"/>
  <c r="C12" i="1"/>
  <c r="B12" i="1"/>
  <c r="H11" i="1"/>
  <c r="G11" i="1"/>
  <c r="F11" i="1"/>
  <c r="D11" i="1"/>
  <c r="C11" i="1"/>
  <c r="B11" i="1"/>
  <c r="H10" i="1"/>
  <c r="G10" i="1"/>
  <c r="F10" i="1"/>
  <c r="D10" i="1"/>
  <c r="C10" i="1"/>
  <c r="B10" i="1"/>
  <c r="H9" i="1"/>
  <c r="G9" i="1"/>
  <c r="F9" i="1"/>
  <c r="D9" i="1"/>
  <c r="C9" i="1"/>
  <c r="B9" i="1"/>
  <c r="K7" i="1"/>
  <c r="J7" i="1"/>
  <c r="I7" i="1"/>
  <c r="H7" i="1"/>
  <c r="G7" i="1"/>
  <c r="F7" i="1"/>
  <c r="E7" i="1"/>
  <c r="D7" i="1"/>
  <c r="C7" i="1"/>
  <c r="B7" i="1"/>
  <c r="K6" i="1"/>
  <c r="J6" i="1"/>
  <c r="I6" i="1"/>
  <c r="H6" i="1"/>
  <c r="G6" i="1"/>
  <c r="F6" i="1"/>
  <c r="E6" i="1"/>
  <c r="D6" i="1"/>
  <c r="C6" i="1"/>
  <c r="B6" i="1"/>
  <c r="H5" i="1"/>
  <c r="G5" i="1"/>
  <c r="F5" i="1"/>
  <c r="D5" i="1"/>
  <c r="C5" i="1"/>
  <c r="B5" i="1"/>
  <c r="K4" i="1"/>
  <c r="J4" i="1"/>
  <c r="I4" i="1"/>
  <c r="H4" i="1"/>
  <c r="G4" i="1"/>
  <c r="F4" i="1"/>
  <c r="E4" i="1"/>
  <c r="D4" i="1"/>
  <c r="C4" i="1"/>
  <c r="B4" i="1"/>
  <c r="F2" i="1"/>
  <c r="D2" i="1"/>
  <c r="C2" i="1"/>
  <c r="X67" i="4"/>
  <c r="W67" i="4"/>
  <c r="Q67" i="4"/>
  <c r="H2" i="1" s="1"/>
  <c r="P67" i="4"/>
  <c r="G2" i="1" s="1"/>
  <c r="O67" i="4"/>
  <c r="M67" i="4"/>
  <c r="G67" i="4"/>
  <c r="F67" i="4"/>
  <c r="E67" i="4"/>
  <c r="C67" i="4"/>
  <c r="B67" i="4"/>
  <c r="B2" i="1" s="1"/>
  <c r="R66" i="4"/>
  <c r="S66" i="4" s="1"/>
  <c r="N66" i="4"/>
  <c r="R65" i="4"/>
  <c r="S65" i="4" s="1"/>
  <c r="N65" i="4"/>
  <c r="R64" i="4"/>
  <c r="S64" i="4" s="1"/>
  <c r="N64" i="4"/>
  <c r="R63" i="4"/>
  <c r="S63" i="4" s="1"/>
  <c r="N63" i="4"/>
  <c r="R62" i="4"/>
  <c r="S62" i="4" s="1"/>
  <c r="N62" i="4"/>
  <c r="R61" i="4"/>
  <c r="S61" i="4" s="1"/>
  <c r="N61" i="4"/>
  <c r="R60" i="4"/>
  <c r="S60" i="4" s="1"/>
  <c r="N60" i="4"/>
  <c r="R59" i="4"/>
  <c r="S59" i="4" s="1"/>
  <c r="N59" i="4"/>
  <c r="R58" i="4"/>
  <c r="S58" i="4" s="1"/>
  <c r="N58" i="4"/>
  <c r="R57" i="4"/>
  <c r="S57" i="4" s="1"/>
  <c r="N57" i="4"/>
  <c r="R56" i="4"/>
  <c r="S56" i="4" s="1"/>
  <c r="N56" i="4"/>
  <c r="R55" i="4"/>
  <c r="S55" i="4" s="1"/>
  <c r="N55" i="4"/>
  <c r="R54" i="4"/>
  <c r="S54" i="4" s="1"/>
  <c r="N54" i="4"/>
  <c r="R53" i="4"/>
  <c r="S53" i="4" s="1"/>
  <c r="N53" i="4"/>
  <c r="R52" i="4"/>
  <c r="N52" i="4"/>
  <c r="R51" i="4"/>
  <c r="S51" i="4" s="1"/>
  <c r="N51" i="4"/>
  <c r="R50" i="4"/>
  <c r="S50" i="4" s="1"/>
  <c r="N50" i="4"/>
  <c r="R49" i="4"/>
  <c r="S49" i="4" s="1"/>
  <c r="N49" i="4"/>
  <c r="R48" i="4"/>
  <c r="S48" i="4" s="1"/>
  <c r="N48" i="4"/>
  <c r="R47" i="4"/>
  <c r="S47" i="4" s="1"/>
  <c r="N47" i="4"/>
  <c r="R46" i="4"/>
  <c r="S46" i="4" s="1"/>
  <c r="N46" i="4"/>
  <c r="R45" i="4"/>
  <c r="S45" i="4" s="1"/>
  <c r="N45" i="4"/>
  <c r="R44" i="4"/>
  <c r="S44" i="4" s="1"/>
  <c r="N44" i="4"/>
  <c r="R43" i="4"/>
  <c r="S43" i="4" s="1"/>
  <c r="N43" i="4"/>
  <c r="R42" i="4"/>
  <c r="S42" i="4" s="1"/>
  <c r="N42" i="4"/>
  <c r="R41" i="4"/>
  <c r="S41" i="4" s="1"/>
  <c r="N41" i="4"/>
  <c r="R40" i="4"/>
  <c r="S40" i="4" s="1"/>
  <c r="N40" i="4"/>
  <c r="R39" i="4"/>
  <c r="S39" i="4" s="1"/>
  <c r="N39" i="4"/>
  <c r="R38" i="4"/>
  <c r="S38" i="4" s="1"/>
  <c r="N38" i="4"/>
  <c r="R37" i="4"/>
  <c r="S37" i="4" s="1"/>
  <c r="N37" i="4"/>
  <c r="R36" i="4"/>
  <c r="S36" i="4" s="1"/>
  <c r="N36" i="4"/>
  <c r="R35" i="4"/>
  <c r="S35" i="4" s="1"/>
  <c r="N35" i="4"/>
  <c r="R34" i="4"/>
  <c r="S34" i="4" s="1"/>
  <c r="N34" i="4"/>
  <c r="R33" i="4"/>
  <c r="N33" i="4"/>
  <c r="R32" i="4"/>
  <c r="S32" i="4" s="1"/>
  <c r="N32" i="4"/>
  <c r="R31" i="4"/>
  <c r="S31" i="4" s="1"/>
  <c r="N31" i="4"/>
  <c r="R30" i="4"/>
  <c r="S30" i="4" s="1"/>
  <c r="N30" i="4"/>
  <c r="R29" i="4"/>
  <c r="S29" i="4" s="1"/>
  <c r="N29" i="4"/>
  <c r="R28" i="4"/>
  <c r="S28" i="4" s="1"/>
  <c r="N28" i="4"/>
  <c r="R27" i="4"/>
  <c r="S27" i="4" s="1"/>
  <c r="N27" i="4"/>
  <c r="R26" i="4"/>
  <c r="S26" i="4" s="1"/>
  <c r="N26" i="4"/>
  <c r="R25" i="4"/>
  <c r="S25" i="4" s="1"/>
  <c r="N25" i="4"/>
  <c r="R24" i="4"/>
  <c r="S24" i="4" s="1"/>
  <c r="N24" i="4"/>
  <c r="R23" i="4"/>
  <c r="S23" i="4" s="1"/>
  <c r="N23" i="4"/>
  <c r="R22" i="4"/>
  <c r="N22" i="4"/>
  <c r="R21" i="4"/>
  <c r="S21" i="4" s="1"/>
  <c r="N21" i="4"/>
  <c r="R20" i="4"/>
  <c r="S20" i="4" s="1"/>
  <c r="N20" i="4"/>
  <c r="R19" i="4"/>
  <c r="S19" i="4" s="1"/>
  <c r="N19" i="4"/>
  <c r="R18" i="4"/>
  <c r="S18" i="4" s="1"/>
  <c r="N18" i="4"/>
  <c r="R17" i="4"/>
  <c r="S17" i="4" s="1"/>
  <c r="N17" i="4"/>
  <c r="R16" i="4"/>
  <c r="S16" i="4" s="1"/>
  <c r="N16" i="4"/>
  <c r="R15" i="4"/>
  <c r="S15" i="4" s="1"/>
  <c r="N15" i="4"/>
  <c r="R14" i="4"/>
  <c r="S14" i="4" s="1"/>
  <c r="N14" i="4"/>
  <c r="R13" i="4"/>
  <c r="S13" i="4" s="1"/>
  <c r="N13" i="4"/>
  <c r="R12" i="4"/>
  <c r="S12" i="4" s="1"/>
  <c r="N12" i="4"/>
  <c r="R11" i="4"/>
  <c r="N11" i="4"/>
  <c r="R10" i="4"/>
  <c r="S10" i="4" s="1"/>
  <c r="N10" i="4"/>
  <c r="R9" i="4"/>
  <c r="S9" i="4" s="1"/>
  <c r="N9" i="4"/>
  <c r="R8" i="4"/>
  <c r="S8" i="4" s="1"/>
  <c r="N8" i="4"/>
  <c r="R7" i="4"/>
  <c r="S7" i="4" s="1"/>
  <c r="N7" i="4"/>
  <c r="R6" i="4"/>
  <c r="S6" i="4" s="1"/>
  <c r="N6" i="4"/>
  <c r="R5" i="4"/>
  <c r="N5" i="4"/>
  <c r="R4" i="4"/>
  <c r="N4" i="4"/>
  <c r="E75" i="1" s="1"/>
  <c r="R3" i="4"/>
  <c r="N3" i="4"/>
  <c r="E73" i="1" s="1"/>
  <c r="S4" i="4" l="1"/>
  <c r="J75" i="1"/>
  <c r="I75" i="1"/>
  <c r="E76" i="1"/>
  <c r="E35" i="1"/>
  <c r="J33" i="1"/>
  <c r="I73" i="1"/>
  <c r="J73" i="1"/>
  <c r="S5" i="4"/>
  <c r="J76" i="1"/>
  <c r="I76" i="1"/>
  <c r="E36" i="1"/>
  <c r="K36" i="1"/>
  <c r="I35" i="1"/>
  <c r="E72" i="1"/>
  <c r="E5" i="1"/>
  <c r="E33" i="1"/>
  <c r="I36" i="1"/>
  <c r="J36" i="1"/>
  <c r="J35" i="1"/>
  <c r="I33" i="1"/>
  <c r="I5" i="1"/>
  <c r="I72" i="1"/>
  <c r="J72" i="1"/>
  <c r="J5" i="1"/>
  <c r="E11" i="1"/>
  <c r="I9" i="1"/>
  <c r="I13" i="1"/>
  <c r="E10" i="1"/>
  <c r="E13" i="1"/>
  <c r="J11" i="1"/>
  <c r="J13" i="1"/>
  <c r="S52" i="4"/>
  <c r="I11" i="1"/>
  <c r="S33" i="4"/>
  <c r="I10" i="1"/>
  <c r="S11" i="4"/>
  <c r="J10" i="1"/>
  <c r="E9" i="1"/>
  <c r="S22" i="4"/>
  <c r="J9" i="1"/>
  <c r="E2" i="1"/>
  <c r="N67" i="4"/>
  <c r="J2" i="1"/>
  <c r="S3" i="4"/>
  <c r="R67" i="4"/>
  <c r="I2" i="1" s="1"/>
  <c r="K33" i="1" l="1"/>
  <c r="L85" i="1"/>
  <c r="L81" i="1"/>
  <c r="L77" i="1"/>
  <c r="L73" i="1"/>
  <c r="L84" i="1"/>
  <c r="K72" i="1"/>
  <c r="L83" i="1"/>
  <c r="L79" i="1"/>
  <c r="K73" i="1"/>
  <c r="L82" i="1"/>
  <c r="L78" i="1"/>
  <c r="L74" i="1"/>
  <c r="L80" i="1"/>
  <c r="K76" i="1"/>
  <c r="L76" i="1"/>
  <c r="K35" i="1"/>
  <c r="K75" i="1"/>
  <c r="L75" i="1"/>
  <c r="K5" i="1"/>
  <c r="L72" i="1"/>
  <c r="L67" i="1"/>
  <c r="L63" i="1"/>
  <c r="L70" i="1"/>
  <c r="L66" i="1"/>
  <c r="L62" i="1"/>
  <c r="L65" i="1"/>
  <c r="L61" i="1"/>
  <c r="L64" i="1"/>
  <c r="L60" i="1"/>
  <c r="L69" i="1"/>
  <c r="L18" i="1"/>
  <c r="K13" i="1"/>
  <c r="K11" i="1"/>
  <c r="K10" i="1"/>
  <c r="K9" i="1"/>
  <c r="L17" i="1"/>
  <c r="L56" i="1"/>
  <c r="L52" i="1"/>
  <c r="L47" i="1"/>
  <c r="L42" i="1"/>
  <c r="L38" i="1"/>
  <c r="L34" i="1"/>
  <c r="L29" i="1"/>
  <c r="L24" i="1"/>
  <c r="L20" i="1"/>
  <c r="L13" i="1"/>
  <c r="L9" i="1"/>
  <c r="L4" i="1"/>
  <c r="K2" i="1"/>
  <c r="S67" i="4"/>
  <c r="L14" i="1"/>
  <c r="L58" i="1"/>
  <c r="L54" i="1"/>
  <c r="L49" i="1"/>
  <c r="L44" i="1"/>
  <c r="L40" i="1"/>
  <c r="L36" i="1"/>
  <c r="L31" i="1"/>
  <c r="L26" i="1"/>
  <c r="L22" i="1"/>
  <c r="L11" i="1"/>
  <c r="L6" i="1"/>
  <c r="L28" i="1"/>
  <c r="L12" i="1"/>
  <c r="L57" i="1"/>
  <c r="L53" i="1"/>
  <c r="L48" i="1"/>
  <c r="L43" i="1"/>
  <c r="L39" i="1"/>
  <c r="L35" i="1"/>
  <c r="L30" i="1"/>
  <c r="L25" i="1"/>
  <c r="L21" i="1"/>
  <c r="L10" i="1"/>
  <c r="L5" i="1"/>
  <c r="L15" i="1"/>
  <c r="L55" i="1"/>
  <c r="L51" i="1"/>
  <c r="L45" i="1"/>
  <c r="L41" i="1"/>
  <c r="L37" i="1"/>
  <c r="L33" i="1"/>
  <c r="L23" i="1"/>
  <c r="L16" i="1"/>
  <c r="L7" i="1"/>
  <c r="L2" i="1"/>
</calcChain>
</file>

<file path=xl/comments1.xml><?xml version="1.0" encoding="utf-8"?>
<comments xmlns="http://schemas.openxmlformats.org/spreadsheetml/2006/main">
  <authors>
    <author>Herranen Noora</author>
  </authors>
  <commentList>
    <comment ref="A17" authorId="0" shapeId="0">
      <text>
        <r>
          <rPr>
            <b/>
            <sz val="9"/>
            <color indexed="81"/>
            <rFont val="Tahoma"/>
            <family val="2"/>
          </rPr>
          <t>Herranen Noora:</t>
        </r>
        <r>
          <rPr>
            <sz val="9"/>
            <color indexed="81"/>
            <rFont val="Tahoma"/>
            <family val="2"/>
          </rPr>
          <t xml:space="preserve">
vastikkeelliset tilat
</t>
        </r>
      </text>
    </comment>
    <comment ref="C34" authorId="0" shapeId="0">
      <text>
        <r>
          <rPr>
            <b/>
            <sz val="9"/>
            <color indexed="81"/>
            <rFont val="Tahoma"/>
            <family val="2"/>
          </rPr>
          <t>Herranen Noora:</t>
        </r>
        <r>
          <rPr>
            <sz val="9"/>
            <color indexed="81"/>
            <rFont val="Tahoma"/>
            <family val="2"/>
          </rPr>
          <t xml:space="preserve">
tilastosta suoraan poimi</t>
        </r>
      </text>
    </comment>
  </commentList>
</comments>
</file>

<file path=xl/sharedStrings.xml><?xml version="1.0" encoding="utf-8"?>
<sst xmlns="http://schemas.openxmlformats.org/spreadsheetml/2006/main" count="1023" uniqueCount="352">
  <si>
    <t>Tiedot keskuksesta edelliseltä kokonaiselta vuodelta</t>
  </si>
  <si>
    <t>Toimintatiedot</t>
  </si>
  <si>
    <t>Kävijätiedot</t>
  </si>
  <si>
    <t>NIMI</t>
  </si>
  <si>
    <t>TOIMINTA</t>
  </si>
  <si>
    <t>KOHDERYHMÄ</t>
  </si>
  <si>
    <t>KOHDERYHMÄN LISÄTIETO</t>
  </si>
  <si>
    <t>1. Henkilöstö</t>
  </si>
  <si>
    <t>palkallinen henkilöstö</t>
  </si>
  <si>
    <t>ostopalvelu henkilöstö</t>
  </si>
  <si>
    <t xml:space="preserve">palkaton henkilöstö </t>
  </si>
  <si>
    <t>a)toimintatilat</t>
  </si>
  <si>
    <t>b)toimistotilat</t>
  </si>
  <si>
    <t xml:space="preserve">2. Tilat (m2) </t>
  </si>
  <si>
    <t>3. Rahoitus (€)</t>
  </si>
  <si>
    <t>c) Nimike/ammattiryhmät (lkm)</t>
  </si>
  <si>
    <t>taiteilija/taidekasvattaja</t>
  </si>
  <si>
    <t>tuotanto/hallinnollinen henkilökunta</t>
  </si>
  <si>
    <t>muu mikä?</t>
  </si>
  <si>
    <t>b) Nuppiluku (lkm)</t>
  </si>
  <si>
    <t>a) Henkilötyövuodet (htv)</t>
  </si>
  <si>
    <t>b) kunnalta/kunnilta</t>
  </si>
  <si>
    <t>a) valtiolta</t>
  </si>
  <si>
    <t>c) muut avustukset</t>
  </si>
  <si>
    <t>d) toiminnan tuotot</t>
  </si>
  <si>
    <t>Kuinka monta % tavoitetaan?</t>
  </si>
  <si>
    <r>
      <t>a)</t>
    </r>
    <r>
      <rPr>
        <sz val="7"/>
        <color theme="1"/>
        <rFont val="Times New Roman"/>
        <family val="1"/>
      </rPr>
      <t xml:space="preserve">      </t>
    </r>
    <r>
      <rPr>
        <sz val="11"/>
        <color theme="1"/>
        <rFont val="Calibri"/>
        <family val="2"/>
        <scheme val="minor"/>
      </rPr>
      <t>Ydintoiminta-alue (nimeä kunnat)</t>
    </r>
  </si>
  <si>
    <r>
      <t>b)</t>
    </r>
    <r>
      <rPr>
        <sz val="7"/>
        <color theme="1"/>
        <rFont val="Times New Roman"/>
        <family val="1"/>
      </rPr>
      <t xml:space="preserve">      </t>
    </r>
    <r>
      <rPr>
        <sz val="11"/>
        <color theme="1"/>
        <rFont val="Calibri"/>
        <family val="2"/>
        <scheme val="minor"/>
      </rPr>
      <t>Maakuntataso? (nimeä kunnat/maakunta)</t>
    </r>
  </si>
  <si>
    <r>
      <t>c)</t>
    </r>
    <r>
      <rPr>
        <sz val="7"/>
        <color theme="1"/>
        <rFont val="Times New Roman"/>
        <family val="1"/>
      </rPr>
      <t xml:space="preserve">       </t>
    </r>
    <r>
      <rPr>
        <sz val="11"/>
        <color theme="1"/>
        <rFont val="Calibri"/>
        <family val="2"/>
        <scheme val="minor"/>
      </rPr>
      <t>Valtakunnallinen (nimeä kunnat/alueet)</t>
    </r>
  </si>
  <si>
    <t>Lasten määrä (alle 18v) (lkm)</t>
  </si>
  <si>
    <t>Koulujen määrä (lkm)</t>
  </si>
  <si>
    <r>
      <rPr>
        <b/>
        <sz val="11"/>
        <color theme="1"/>
        <rFont val="Calibri"/>
        <family val="2"/>
        <scheme val="minor"/>
      </rPr>
      <t>perusopetuksen piirissä olevien lasten määrä</t>
    </r>
    <r>
      <rPr>
        <sz val="11"/>
        <color theme="1"/>
        <rFont val="Calibri"/>
        <family val="2"/>
        <scheme val="minor"/>
      </rPr>
      <t>? (lkm)</t>
    </r>
  </si>
  <si>
    <t>Päiväkotien määrä (lkm)</t>
  </si>
  <si>
    <t>vakan piirissä olevien lasten määrä? (lkm)</t>
  </si>
  <si>
    <r>
      <t>a)</t>
    </r>
    <r>
      <rPr>
        <sz val="7"/>
        <color theme="1"/>
        <rFont val="Times New Roman"/>
        <family val="1"/>
      </rPr>
      <t> </t>
    </r>
    <r>
      <rPr>
        <sz val="11"/>
        <color theme="1"/>
        <rFont val="Calibri"/>
        <family val="2"/>
        <scheme val="minor"/>
      </rPr>
      <t>Yleisölle avoin toiminta</t>
    </r>
  </si>
  <si>
    <r>
      <t>f)</t>
    </r>
    <r>
      <rPr>
        <sz val="7"/>
        <color theme="1"/>
        <rFont val="Times New Roman"/>
        <family val="1"/>
      </rPr>
      <t> </t>
    </r>
    <r>
      <rPr>
        <sz val="11"/>
        <color theme="1"/>
        <rFont val="Calibri"/>
        <family val="2"/>
        <scheme val="minor"/>
      </rPr>
      <t>Aikuisille</t>
    </r>
  </si>
  <si>
    <t>e) Varhaiskasvatukselle</t>
  </si>
  <si>
    <r>
      <t>d)</t>
    </r>
    <r>
      <rPr>
        <sz val="7"/>
        <color theme="1"/>
        <rFont val="Times New Roman"/>
        <family val="1"/>
      </rPr>
      <t xml:space="preserve"> </t>
    </r>
    <r>
      <rPr>
        <sz val="11"/>
        <color theme="1"/>
        <rFont val="Calibri"/>
        <family val="2"/>
        <scheme val="minor"/>
      </rPr>
      <t>Kouluille</t>
    </r>
  </si>
  <si>
    <r>
      <t>c)</t>
    </r>
    <r>
      <rPr>
        <sz val="7"/>
        <color theme="1"/>
        <rFont val="Times New Roman"/>
        <family val="1"/>
      </rPr>
      <t> </t>
    </r>
    <r>
      <rPr>
        <sz val="11"/>
        <color theme="1"/>
        <rFont val="Calibri"/>
        <family val="2"/>
        <scheme val="minor"/>
      </rPr>
      <t>Perheille</t>
    </r>
  </si>
  <si>
    <r>
      <t>b)</t>
    </r>
    <r>
      <rPr>
        <sz val="7"/>
        <color theme="1"/>
        <rFont val="Times New Roman"/>
        <family val="1"/>
      </rPr>
      <t> </t>
    </r>
    <r>
      <rPr>
        <sz val="11"/>
        <color theme="1"/>
        <rFont val="Calibri"/>
        <family val="2"/>
        <scheme val="minor"/>
      </rPr>
      <t>Nuorille</t>
    </r>
  </si>
  <si>
    <r>
      <t>a)</t>
    </r>
    <r>
      <rPr>
        <sz val="7"/>
        <color theme="1"/>
        <rFont val="Times New Roman"/>
        <family val="1"/>
      </rPr>
      <t xml:space="preserve"> </t>
    </r>
    <r>
      <rPr>
        <sz val="11"/>
        <color theme="1"/>
        <rFont val="Calibri"/>
        <family val="2"/>
        <scheme val="minor"/>
      </rPr>
      <t>Lapsille</t>
    </r>
  </si>
  <si>
    <t>a) Esitys</t>
  </si>
  <si>
    <t>b) Työpaja</t>
  </si>
  <si>
    <t>c)  Harrastustoiminta</t>
  </si>
  <si>
    <r>
      <t>b)</t>
    </r>
    <r>
      <rPr>
        <sz val="11"/>
        <color theme="1"/>
        <rFont val="Calibri"/>
        <family val="2"/>
        <scheme val="minor"/>
      </rPr>
      <t xml:space="preserve"> Työpaja</t>
    </r>
  </si>
  <si>
    <r>
      <t>c)</t>
    </r>
    <r>
      <rPr>
        <sz val="11"/>
        <color theme="1"/>
        <rFont val="Calibri"/>
        <family val="2"/>
        <scheme val="minor"/>
      </rPr>
      <t>  Harrastustoiminta</t>
    </r>
  </si>
  <si>
    <t>Summa</t>
  </si>
  <si>
    <t>Kävijämäärä b) aikuiset</t>
  </si>
  <si>
    <r>
      <t>b)</t>
    </r>
    <r>
      <rPr>
        <sz val="7"/>
        <color theme="1"/>
        <rFont val="Times New Roman"/>
        <family val="1"/>
      </rPr>
      <t xml:space="preserve"> </t>
    </r>
    <r>
      <rPr>
        <sz val="11"/>
        <color theme="1"/>
        <rFont val="Calibri"/>
        <family val="2"/>
        <scheme val="minor"/>
      </rPr>
      <t xml:space="preserve">Kulttuurikasvatus </t>
    </r>
  </si>
  <si>
    <t>c) Tapahtumakokonaisuudet</t>
  </si>
  <si>
    <t>YHTEENSÄ</t>
  </si>
  <si>
    <t>g) Useille kohderyhmille</t>
  </si>
  <si>
    <t>JAOTELTUNA TOIMINTAOTSIKON MUKAAN</t>
  </si>
  <si>
    <t>JAOTELTUNA KOHDERYHMÄN MUKAAN</t>
  </si>
  <si>
    <t>Valitse yksi</t>
  </si>
  <si>
    <t>d) kansainvälinen (nimeä maat)</t>
  </si>
  <si>
    <r>
      <t>a)</t>
    </r>
    <r>
      <rPr>
        <sz val="7"/>
        <color theme="0" tint="-0.34998626667073579"/>
        <rFont val="Times New Roman"/>
        <family val="1"/>
      </rPr>
      <t> </t>
    </r>
    <r>
      <rPr>
        <sz val="11"/>
        <color theme="0" tint="-0.34998626667073579"/>
        <rFont val="Calibri"/>
        <family val="2"/>
        <scheme val="minor"/>
      </rPr>
      <t>Yleisölle avoin toiminta</t>
    </r>
  </si>
  <si>
    <r>
      <t>b)</t>
    </r>
    <r>
      <rPr>
        <sz val="7"/>
        <color theme="0" tint="-0.34998626667073579"/>
        <rFont val="Times New Roman"/>
        <family val="1"/>
      </rPr>
      <t xml:space="preserve"> </t>
    </r>
    <r>
      <rPr>
        <sz val="11"/>
        <color theme="0" tint="-0.34998626667073579"/>
        <rFont val="Calibri"/>
        <family val="2"/>
        <scheme val="minor"/>
      </rPr>
      <t xml:space="preserve">Kulttuurikasvatus </t>
    </r>
  </si>
  <si>
    <r>
      <t>a)</t>
    </r>
    <r>
      <rPr>
        <sz val="7"/>
        <color theme="0" tint="-0.34998626667073579"/>
        <rFont val="Times New Roman"/>
        <family val="1"/>
      </rPr>
      <t xml:space="preserve"> </t>
    </r>
    <r>
      <rPr>
        <sz val="11"/>
        <color theme="0" tint="-0.34998626667073579"/>
        <rFont val="Calibri"/>
        <family val="2"/>
        <scheme val="minor"/>
      </rPr>
      <t>Lapsille</t>
    </r>
  </si>
  <si>
    <r>
      <t>b)</t>
    </r>
    <r>
      <rPr>
        <sz val="7"/>
        <color theme="0" tint="-0.34998626667073579"/>
        <rFont val="Times New Roman"/>
        <family val="1"/>
      </rPr>
      <t> </t>
    </r>
    <r>
      <rPr>
        <sz val="11"/>
        <color theme="0" tint="-0.34998626667073579"/>
        <rFont val="Calibri"/>
        <family val="2"/>
        <scheme val="minor"/>
      </rPr>
      <t>Nuorille</t>
    </r>
  </si>
  <si>
    <r>
      <t>c)</t>
    </r>
    <r>
      <rPr>
        <sz val="7"/>
        <color theme="0" tint="-0.34998626667073579"/>
        <rFont val="Times New Roman"/>
        <family val="1"/>
      </rPr>
      <t> </t>
    </r>
    <r>
      <rPr>
        <sz val="11"/>
        <color theme="0" tint="-0.34998626667073579"/>
        <rFont val="Calibri"/>
        <family val="2"/>
        <scheme val="minor"/>
      </rPr>
      <t>Perheille</t>
    </r>
  </si>
  <si>
    <r>
      <t>d)</t>
    </r>
    <r>
      <rPr>
        <sz val="7"/>
        <color theme="0" tint="-0.34998626667073579"/>
        <rFont val="Times New Roman"/>
        <family val="1"/>
      </rPr>
      <t xml:space="preserve"> </t>
    </r>
    <r>
      <rPr>
        <sz val="11"/>
        <color theme="0" tint="-0.34998626667073579"/>
        <rFont val="Calibri"/>
        <family val="2"/>
        <scheme val="minor"/>
      </rPr>
      <t>Kouluille</t>
    </r>
  </si>
  <si>
    <r>
      <t>f)</t>
    </r>
    <r>
      <rPr>
        <sz val="7"/>
        <color theme="0" tint="-0.34998626667073579"/>
        <rFont val="Times New Roman"/>
        <family val="1"/>
      </rPr>
      <t> </t>
    </r>
    <r>
      <rPr>
        <sz val="11"/>
        <color theme="0" tint="-0.34998626667073579"/>
        <rFont val="Calibri"/>
        <family val="2"/>
        <scheme val="minor"/>
      </rPr>
      <t>Aikuisille</t>
    </r>
  </si>
  <si>
    <t>Asiakaskontakti (lkm)</t>
  </si>
  <si>
    <t>a) Henkilöstökulut sivukuluineen</t>
  </si>
  <si>
    <t>b) Tila- ja kiinteistökulut</t>
  </si>
  <si>
    <t>c) Muut kulut</t>
  </si>
  <si>
    <t>TAMMI</t>
  </si>
  <si>
    <t>HELMI</t>
  </si>
  <si>
    <t>MAALIS</t>
  </si>
  <si>
    <t>HUHTI</t>
  </si>
  <si>
    <t>TOUKO</t>
  </si>
  <si>
    <t>KESÄ</t>
  </si>
  <si>
    <t>HEINÄ</t>
  </si>
  <si>
    <t>ELO</t>
  </si>
  <si>
    <t>SYYS</t>
  </si>
  <si>
    <t>LOKA</t>
  </si>
  <si>
    <t>MARRAS</t>
  </si>
  <si>
    <t>JOULU</t>
  </si>
  <si>
    <t>Kuluvan vuoden tilaston täyttö</t>
  </si>
  <si>
    <t>Kaupungin / muu oma raportointitarve</t>
  </si>
  <si>
    <t>Edellisen vuoden tilastokoonti "koko Suomi" ja valtakunnallinen tiedostus</t>
  </si>
  <si>
    <t>TOIMIJA</t>
  </si>
  <si>
    <t xml:space="preserve">Lastenkulttuurikeskusten Liitto / Vastuuhenkilö: </t>
  </si>
  <si>
    <t>OKM /                                               Vastuuhenkilö: Iina Berden</t>
  </si>
  <si>
    <t xml:space="preserve">Tilastokeskus /                     Vastuuhenkilö: </t>
  </si>
  <si>
    <t>alkuPvm</t>
  </si>
  <si>
    <t>loppuPvm</t>
  </si>
  <si>
    <t>JAOTELTUNA IKÄRYHMÄN MUKAAN</t>
  </si>
  <si>
    <t>Tapahtuma kunta</t>
  </si>
  <si>
    <t>Tapahtuma Paikka</t>
  </si>
  <si>
    <t>d) Avoin kulttuurikeskustoiminta</t>
  </si>
  <si>
    <t>LASTENKULTTUURIKESKUKSEN TOIMINTARESURSSIT</t>
  </si>
  <si>
    <t>4. Kustannukset (€)</t>
  </si>
  <si>
    <t>LASTENKULTTUURIN TOIMINTAKENTTÄ</t>
  </si>
  <si>
    <r>
      <rPr>
        <b/>
        <sz val="10"/>
        <rFont val="Calibri"/>
        <family val="2"/>
      </rPr>
      <t>Kulttuurikeskus /</t>
    </r>
    <r>
      <rPr>
        <sz val="10"/>
        <rFont val="Calibri"/>
        <family val="2"/>
      </rPr>
      <t xml:space="preserve">                                </t>
    </r>
    <r>
      <rPr>
        <b/>
        <sz val="10"/>
        <rFont val="Calibri"/>
        <family val="2"/>
      </rPr>
      <t>Vastuuhenkilöt:</t>
    </r>
  </si>
  <si>
    <t>ERITYISRYHMÄT</t>
  </si>
  <si>
    <t>JAOTELTUNA SUHTEESSA ERITYISRYHMIIN</t>
  </si>
  <si>
    <t>Kävijämäärä a) lapset</t>
  </si>
  <si>
    <t>Kesto (min) / tapaaminen</t>
  </si>
  <si>
    <t>Kokonais-kesto (min)</t>
  </si>
  <si>
    <t>Kokonais-kesto (h)</t>
  </si>
  <si>
    <t>Tapaamis-kerrat (lkm)</t>
  </si>
  <si>
    <t>Kokonais-kävijämäärä</t>
  </si>
  <si>
    <t>a) Toiminta soveltuu</t>
  </si>
  <si>
    <t>b) Toiminta on suunnattu erityisesti</t>
  </si>
  <si>
    <t>c) Toiminta ei sovellu</t>
  </si>
  <si>
    <t>a) Vauvat ja taaperot</t>
  </si>
  <si>
    <t>Kesto (min) / tapaami-nen KA</t>
  </si>
  <si>
    <t>Kävijä-määrä a)lapset</t>
  </si>
  <si>
    <t>Kävijä-määrä b) aikuiset</t>
  </si>
  <si>
    <t>Kokonais-kävijä-määrä</t>
  </si>
  <si>
    <t>Prosenttia (%) lkm:stä</t>
  </si>
  <si>
    <t>f) Näyttely</t>
  </si>
  <si>
    <t>g) Verkkosisältö</t>
  </si>
  <si>
    <t>h) Koulutus</t>
  </si>
  <si>
    <t>Tapahtumien määrä (lkm)</t>
  </si>
  <si>
    <r>
      <t xml:space="preserve">Toiminta-alue </t>
    </r>
    <r>
      <rPr>
        <sz val="11"/>
        <color theme="1"/>
        <rFont val="Calibri"/>
        <family val="2"/>
        <scheme val="minor"/>
      </rPr>
      <t>(kunnat, joissa on ollut toimintaa)</t>
    </r>
  </si>
  <si>
    <r>
      <t>Tiedot toiminta-alueesta</t>
    </r>
    <r>
      <rPr>
        <b/>
        <sz val="11"/>
        <rFont val="Calibri"/>
        <family val="2"/>
        <scheme val="minor"/>
      </rPr>
      <t xml:space="preserve"> edelliseltä vuodelta</t>
    </r>
  </si>
  <si>
    <t>Tilastokeskus päivittää verkkojulkaisunsa kuun lopussa</t>
  </si>
  <si>
    <t>Talous yms tiedoista tiedottaminen</t>
  </si>
  <si>
    <t>JAOTELTUNA ALUEEN MUKAAN</t>
  </si>
  <si>
    <t>Ikäryhmä</t>
  </si>
  <si>
    <t>Alueellisuus</t>
  </si>
  <si>
    <t>a) Paikallinen</t>
  </si>
  <si>
    <t xml:space="preserve">b) Alueellinen </t>
  </si>
  <si>
    <t xml:space="preserve">c) Valtakunnallinen </t>
  </si>
  <si>
    <t>d) Kansainvälinen</t>
  </si>
  <si>
    <t>e) Yleisötilaisuus</t>
  </si>
  <si>
    <t>b) Leikki-ikäiset</t>
  </si>
  <si>
    <t>c) Alle kouluikäiset</t>
  </si>
  <si>
    <t>d) Alakouluikäiset</t>
  </si>
  <si>
    <t>e) Yläkouluikäiset</t>
  </si>
  <si>
    <t>f) Lukioikäiset</t>
  </si>
  <si>
    <t>g) Nuoret aikuiset</t>
  </si>
  <si>
    <t>h) 0-12-vuotiaat</t>
  </si>
  <si>
    <t>i) 13-18-vuotiaat</t>
  </si>
  <si>
    <t xml:space="preserve">k) Aikuiset </t>
  </si>
  <si>
    <t>l) Ikäihmiset</t>
  </si>
  <si>
    <t>m) Joku muu</t>
  </si>
  <si>
    <t>j) 16-29-vuotiaat</t>
  </si>
  <si>
    <t>Tapahtumien määrä</t>
  </si>
  <si>
    <t>Tapaamis-kerrat /lapsi</t>
  </si>
  <si>
    <t>KA kokonais-kävijämäärä/tapahtuma (lkm)</t>
  </si>
  <si>
    <t>KIELI</t>
  </si>
  <si>
    <t>RAHOITUS</t>
  </si>
  <si>
    <t>a) Suomi</t>
  </si>
  <si>
    <t>b) Ruotsi</t>
  </si>
  <si>
    <t>c) Saame</t>
  </si>
  <si>
    <t>d) Englanti</t>
  </si>
  <si>
    <t>e) Venäjä</t>
  </si>
  <si>
    <t>f) Viittomakieli</t>
  </si>
  <si>
    <t>g) Kaksi- tai useampikielinen</t>
  </si>
  <si>
    <t>h) Joku muu</t>
  </si>
  <si>
    <t>a) Avustus lastenkulttuurikeskuksille (OKM)</t>
  </si>
  <si>
    <t>b) Taidetestaajat</t>
  </si>
  <si>
    <t>Asiakas-kontaktit (%)</t>
  </si>
  <si>
    <t>Asiakas-kontaktit (lkm)</t>
  </si>
  <si>
    <t>Tiedonantaja / vastuuhenkilö</t>
  </si>
  <si>
    <t>JAOTELTUNA KIELEN MUKAAN</t>
  </si>
  <si>
    <t>d) Muu</t>
  </si>
  <si>
    <t xml:space="preserve">d) Muu </t>
  </si>
  <si>
    <t>c) Pelkkä omarahoitus</t>
  </si>
  <si>
    <t>d) Rahoitus A</t>
  </si>
  <si>
    <t>e) Rahoitus B</t>
  </si>
  <si>
    <t>f) Rahoitus C</t>
  </si>
  <si>
    <t>g) Rahoitus D</t>
  </si>
  <si>
    <t>h) Rahoitus E</t>
  </si>
  <si>
    <t>i) Opastus</t>
  </si>
  <si>
    <t>LASTENKULTTUURIKESKUKSEN KOKO TOIMINTA VUONNA 2017</t>
  </si>
  <si>
    <t>SUOMI 100</t>
  </si>
  <si>
    <t>a) Kyllä</t>
  </si>
  <si>
    <t>b) Ei</t>
  </si>
  <si>
    <t>MIKÄ OSUUS OLI SUOMI 100 JUHLAVUODEN OHJELMAA</t>
  </si>
  <si>
    <t>SISÄLTÖ</t>
  </si>
  <si>
    <t>Kulttuurikasvatus  yhteensä</t>
  </si>
  <si>
    <t>JAOTELTUNA RAHOITUKSEN MUKAAN</t>
  </si>
  <si>
    <t>KULTTUURIKASVATUS JAOTELTUNA IKÄRYHMÄN MUKAAN</t>
  </si>
  <si>
    <t>j) Joku muu</t>
  </si>
  <si>
    <t>JAOTELTUNA SISÄLLÖN MUKAAN</t>
  </si>
  <si>
    <r>
      <t xml:space="preserve">1. Edellisen vuoden </t>
    </r>
    <r>
      <rPr>
        <u/>
        <sz val="10"/>
        <rFont val="Calibri"/>
        <family val="2"/>
        <scheme val="minor"/>
      </rPr>
      <t>toimintatietolomakkeen</t>
    </r>
    <r>
      <rPr>
        <sz val="10"/>
        <rFont val="Calibri"/>
        <family val="2"/>
        <scheme val="minor"/>
      </rPr>
      <t xml:space="preserve"> tietojen toimitus Suomen lastenkulttuurikeskusten liiton sähköiseen kyselyyn/DL</t>
    </r>
    <r>
      <rPr>
        <b/>
        <sz val="10"/>
        <rFont val="Calibri"/>
        <family val="2"/>
        <scheme val="minor"/>
      </rPr>
      <t xml:space="preserve"> 31.1. 
</t>
    </r>
    <r>
      <rPr>
        <sz val="10"/>
        <rFont val="Calibri"/>
        <family val="2"/>
        <scheme val="minor"/>
      </rPr>
      <t xml:space="preserve">2. Kuluvan vuoden tilaston täyttö.    </t>
    </r>
  </si>
  <si>
    <r>
      <t xml:space="preserve">1. Ministeriölle toimitetaan raportoinnin yhteydessä välilehti YHTEENVETO koko toiminta. (pdf) </t>
    </r>
    <r>
      <rPr>
        <b/>
        <sz val="10"/>
        <rFont val="Calibri"/>
        <family val="2"/>
        <scheme val="minor"/>
      </rPr>
      <t>/DL 30.4.</t>
    </r>
    <r>
      <rPr>
        <sz val="10"/>
        <rFont val="Calibri"/>
        <family val="2"/>
        <scheme val="minor"/>
      </rPr>
      <t xml:space="preserve">
2. Liitolle toimitetaan </t>
    </r>
    <r>
      <rPr>
        <u/>
        <sz val="10"/>
        <rFont val="Calibri"/>
        <family val="2"/>
        <scheme val="minor"/>
      </rPr>
      <t>perustietolomakkeen</t>
    </r>
    <r>
      <rPr>
        <sz val="10"/>
        <rFont val="Calibri"/>
        <family val="2"/>
        <scheme val="minor"/>
      </rPr>
      <t xml:space="preserve"> edellisen vuoden tilastotieto sähköisellä kyselyllä. </t>
    </r>
    <r>
      <rPr>
        <b/>
        <sz val="10"/>
        <rFont val="Calibri"/>
        <family val="2"/>
        <scheme val="minor"/>
      </rPr>
      <t>/DL 15.4</t>
    </r>
    <r>
      <rPr>
        <sz val="10"/>
        <rFont val="Calibri"/>
        <family val="2"/>
        <scheme val="minor"/>
      </rPr>
      <t>.</t>
    </r>
    <r>
      <rPr>
        <b/>
        <sz val="10"/>
        <rFont val="Calibri"/>
        <family val="2"/>
        <scheme val="minor"/>
      </rPr>
      <t xml:space="preserve">
3. </t>
    </r>
    <r>
      <rPr>
        <sz val="10"/>
        <rFont val="Calibri"/>
        <family val="2"/>
        <scheme val="minor"/>
      </rPr>
      <t>Kuluvan vuoden tilaston täyttö</t>
    </r>
  </si>
  <si>
    <t>1. Kuluvan vuoden tilaston täyttö 
2. Tilastojen välitarkastus</t>
  </si>
  <si>
    <t>1. Kuluvan vuoden tilaston täyttö   
2. Välitilastointi hakemuksiin</t>
  </si>
  <si>
    <t>Tilastokoonnin toimitus Tilastokeskukselle esim 30.4. mennessä</t>
  </si>
  <si>
    <t>Edellisen vuoden tilastokoonti ja valtakunnallinen tiedotus</t>
  </si>
  <si>
    <t>OHJEET JA MÄÄRITELMÄT</t>
  </si>
  <si>
    <t>SUOMEN LASTENKULTTUURIKESKUSTEN LIITTO</t>
  </si>
  <si>
    <t>Tilastoinnin tarkoitus ja tavoitteet</t>
  </si>
  <si>
    <t>Tilastoinnin tarkoitus on tuottaa tietoa Suomen lastenkulttuurikeskusten liiton ja sen jäsenkeskusten toiminnasta. Tavoitteena on tuottaa kaikista jäsenkeskuksista yhteismitallista tietoa. Tavoitteisiin pyritään yhteisesti sovituilla käsitteillä ja aikatauluilla. Tilastointi palvelee Suomen lastenkulttuurikeskusten liittoa, sen jäseniä, rahoittajia, tutkimusta, Tilastokeskusta ja medioita.</t>
  </si>
  <si>
    <t>Tilastossa esiintyvien käsitteiden määrittely välilehdittäin.</t>
  </si>
  <si>
    <t>VÄLILEHTI 1: TOIMINTATIETOLOMAKE</t>
  </si>
  <si>
    <t>Täytä kaikki luvut kokonaislukuina.</t>
  </si>
  <si>
    <t>Kun olet täyttänyt kaikki rivit, poista taulukon tyhjät rivit.</t>
  </si>
  <si>
    <t>Mikäli et tiedä kuinka moni kävijöistä oli lapsia ja kuinka moni aikuisia, tee arvio.</t>
  </si>
  <si>
    <t>Millä kielellä toiminta on toteutettu.</t>
  </si>
  <si>
    <t>a) suomi</t>
  </si>
  <si>
    <t>b) ruotsi</t>
  </si>
  <si>
    <t>c) englanti</t>
  </si>
  <si>
    <t>d) saame</t>
  </si>
  <si>
    <t>e) venäjä</t>
  </si>
  <si>
    <t>f) viittomakieli</t>
  </si>
  <si>
    <t>g) kaksi- tai useampikielinen</t>
  </si>
  <si>
    <t>Millä toiminta on rahoitettu. Rahoitus sisältää aina myös omarahoitusosuuden, vaikka se olisi nimetty ulkopuolisen rahoittajan mukaan. Keskus voi nimetä rahoituskanavia myös oman tarpeensa mukaan ja esimerkiksi käyttää tätä ominaisuutta eri hankkeiden tilastojen seurantaan.</t>
  </si>
  <si>
    <t>Valitse, oliko toiminta osa Suomi 100 -juhlavuoden ohjelmaa. Valitse Kyllä, jos toiminnalla oli virallinen status valtakunnallisessa tai maakunnallisessa ohjelmassa tai toiminnalle oli muuten saatu Suomi 100 -organisaatiolta lupa logon käyttöön. Valitse Ei, jos toiminta ei täytä edellisiä kriteerejä.</t>
  </si>
  <si>
    <t>VÄLILEHTI 2: PERUSTIETOLOMAKE</t>
  </si>
  <si>
    <t xml:space="preserve"> </t>
  </si>
  <si>
    <t>Päätoimisen (työaika vähintään 30 tuntia viikossa) henkilökunnan lukumäärä lasketaan kuukausittain koko vuodelta. Kuukausien henkilöstömäärät lasketaan yhteen ja summa jaetaan 12:lla. Vähintään kuukauden mittaisia palkattomia virkavapauksia ei lasketa mukaan henkilöstömääriin.</t>
  </si>
  <si>
    <t>Osa-aikaiset työntekijät (tuntimäärä alle 30h/vko) lasketaan muuttamalla työaika täysiksi henkilötyövuosiksi normaalin viikko/kuukausi/vuosityötuntimäärän mukaan. Osa-aikaisiksi työntekijöiksi lasketaan myös vain osan kokonaistyöajastaan lastenkulttuurityötä tekevät. Tämä voidaan laskea tuntiperusteisesti tai laskea työntekijöiden työajat prosenteissa yhteen (kaksi puolipäiväistä on 50%+50%=100%=yksi htv). Mukaan lasketaan tuntityötä tekevät. Suoriteperusteisen ohjaustyön työtuntimäärä lasketaan ohjaustuntimäärä x 1,5 (jolloin sisältää suunnittelu ja valmistelutyön).</t>
  </si>
  <si>
    <t>Esiintyjien työtä ei lasketa henkilötyövuosiin, ne näkyvät mukana vain nuppiluvussa.</t>
  </si>
  <si>
    <t xml:space="preserve">Taiteilija/taidekasvattaja | </t>
  </si>
  <si>
    <t xml:space="preserve">Muu mikä? | </t>
  </si>
  <si>
    <t>a) Ydintoiminta-alue</t>
  </si>
  <si>
    <t>b) Maakuntataso</t>
  </si>
  <si>
    <t>VÄLILEHTI 3: VUOSIKELLO</t>
  </si>
  <si>
    <t>Vuosikello kertoo milloin ja miten tilastotietoja toimitetaan ja kenelle.</t>
  </si>
  <si>
    <t>Täydennä oman organisaatiosi tarpeisiin myös muut tilastoinnin aikataulut ja vastuuhenkilöt taulukon Vuosikello-välilehdelle.</t>
  </si>
  <si>
    <t>VÄLILEHTI 4: YHTEENVETO-VÄLILEHDET</t>
  </si>
  <si>
    <t>Pyri aina täyttämään tiedot tilastoon tarkimmalla mahdollisella tavalla, esimerkiksi tapahtuman sisällä oleva työpaja, näyttely ja esitys omille riveilleen. Näin saadaan myös tapahtuman sisällä olevista palveluista tietoa. Palvelulla tarkoitetaan ammattitaitoisesti tuotettua lastenkulttuurisisältöä.</t>
  </si>
  <si>
    <t>Myös peruuntunut tilaisuus, jossa oli 0 osallistujaa, merkitään tapahtumaksi eli omaksi rivikseen jos se on suunniteltu ja markkinoitu eli siihen on käytetty keskuksen resursseja. Kävijälukuihin merkitään tällöin 0 osallistujaa.</t>
  </si>
  <si>
    <t>Täytettävässä toimintatietolomakkeessa valkoisella pohjalla on tekstillä tai luvuilla täytettäviä sarakkeita, oranssilla olevat sarakkeet ovat alasvetovalikoita, joista tulee valita yksi vaihtoehto ja harmaalla pohjalla olevat sarakkeet sisältävät kaavoja eli niihin ei saa syöttää mitään lukuja.</t>
  </si>
  <si>
    <t>Kesto/tapaaminen | Merkitse yhden tapahtuman kesto/tapaaminen minuutteina. HUOM! Näyttelyiden osalta ei täytetä kestoa lainkaan.</t>
  </si>
  <si>
    <t>Kokonaiskesto | Taulukko laskee automaattisesti kokonaiskeston minuutteina kertomalla kesto/tapaaminen tapaamisten ja tapahtumien määrällä.</t>
  </si>
  <si>
    <t>Tapaamiskerta | Kuinka monta kertaa on tavattu samansisältöisen toiminnan parissa saman kohderyhmän, saman alueellisuuden, saman ikäryhmän ja saman erityisryhmän kanssa. Tapaamiskerta ei ole aikasidonnainen, tapaamiset voivat olla useamman kerran päivässä tai eri päivinä.</t>
  </si>
  <si>
    <t xml:space="preserve">Kävijämäärät | Kuinka monta henkeä toimintatiedossa (HUOM! syöttämäsi rivi yhteensä) on ollut osallistujia / tapaamiskerta. Mikäli syötät samalla rivillä esimerkiksi 10 kulttuuripolun työpajaa, ilmoitat pajojen koko kävijämäärätiedot yhteensä/yksi tapaamiskerta eli lasket jokaisen syöttämäsi rivin työpajan kävijät ensin yhteen. Mikäli puolestaan syötät harrasteryhmää, joka on tavannut 15 kertaa, syötät tähän keskiarvokävijämäärän per tapaamiskerta.   </t>
  </si>
  <si>
    <t>Kävijämäärä a) Lapset | Alle 18-vuotiaat. Merkitse yhteensä toimintatiedon (=yksi rivi) osallistuneiden lasten määrä/yksi tapaamiskerta.</t>
  </si>
  <si>
    <t>Kävijämäärä b) Aikuiset | yli 18-vuotiaat. Merkitse yhteensä toimintatiedon osallistuneiden aikuisten määrä/yksi tapaamiskerta. Huomioi ohjeet yllä.</t>
  </si>
  <si>
    <t>d) Rahoitus A |</t>
  </si>
  <si>
    <t>e) Rahoitus B |</t>
  </si>
  <si>
    <t>f) Rahoitus C |</t>
  </si>
  <si>
    <t>g) Rahoitus D |</t>
  </si>
  <si>
    <t>h) Rahoitus E |</t>
  </si>
  <si>
    <t>LASTENKULTTUURIN TOIMINTARESURSSIT | Tässä osiossa kartoitetaan keskusten toimintaresursseja edellisenä vuonna.</t>
  </si>
  <si>
    <t>Tuotanto/hallinnollinen henkilökunta | sisältöihin liittyvä henkilökunta</t>
  </si>
  <si>
    <t>Täydennä seuraavat tiedot kerätyistä väestötilastoista ja toimintatiedoista suhteessa toiminta-alueeseen.</t>
  </si>
  <si>
    <r>
      <rPr>
        <b/>
        <sz val="11"/>
        <color theme="1"/>
        <rFont val="Calibri"/>
        <family val="2"/>
        <scheme val="minor"/>
      </rPr>
      <t>Erityisryhmät</t>
    </r>
    <r>
      <rPr>
        <sz val="11"/>
        <color theme="1"/>
        <rFont val="Calibri"/>
        <family val="2"/>
        <scheme val="minor"/>
      </rPr>
      <t xml:space="preserve"> | Valitse yksi.</t>
    </r>
  </si>
  <si>
    <r>
      <rPr>
        <b/>
        <sz val="11"/>
        <color theme="1"/>
        <rFont val="Calibri"/>
        <family val="2"/>
        <scheme val="minor"/>
      </rPr>
      <t xml:space="preserve">Asiakaskontaktit </t>
    </r>
    <r>
      <rPr>
        <sz val="11"/>
        <color theme="1"/>
        <rFont val="Calibri"/>
        <family val="2"/>
        <scheme val="minor"/>
      </rPr>
      <t>| Kuinka monta asiakaskontaktia tapahtumalla on tavoitettu. Taulukko laskee tämän automaattisesti kaavalla kertomalla tapaamiskerrat kokonaiskävijämäärällä.</t>
    </r>
  </si>
  <si>
    <r>
      <rPr>
        <b/>
        <sz val="11"/>
        <color theme="1"/>
        <rFont val="Calibri"/>
        <family val="2"/>
        <scheme val="minor"/>
      </rPr>
      <t>Kokonaiskävijämäärä</t>
    </r>
    <r>
      <rPr>
        <sz val="11"/>
        <color theme="1"/>
        <rFont val="Calibri"/>
        <family val="2"/>
        <scheme val="minor"/>
      </rPr>
      <t xml:space="preserve"> | Laskee yhteen lasten ja aikuisten määrän tapahtuman yhdessä tapaamiskerrassa. Taulukko laskee tämän automaattisesti kaavalla laskemalla yhteen aikuiset ja lapset.</t>
    </r>
  </si>
  <si>
    <r>
      <rPr>
        <b/>
        <sz val="11"/>
        <color theme="1"/>
        <rFont val="Calibri"/>
        <family val="2"/>
        <scheme val="minor"/>
      </rPr>
      <t>Toimintatiedot</t>
    </r>
    <r>
      <rPr>
        <sz val="11"/>
        <color theme="1"/>
        <rFont val="Calibri"/>
        <family val="2"/>
        <scheme val="minor"/>
      </rPr>
      <t xml:space="preserve"> | Tässä osiossa kartoitetaan kunkin keskuksen tapahtumakohtaisia tietoja toiminnan sisällöistä, kohderyhmistä, tapahtumapaikoista ja ajankohdista, tapahtumien kestoista, määrästä, tapaamiskerroista, kävijämääristä, erityisryhmien huomioimisesta sekä kokonaisasiakaskontaktimäärästä. </t>
    </r>
  </si>
  <si>
    <r>
      <rPr>
        <b/>
        <sz val="11"/>
        <color theme="1"/>
        <rFont val="Calibri"/>
        <family val="2"/>
        <scheme val="minor"/>
      </rPr>
      <t>Toimintatieto</t>
    </r>
    <r>
      <rPr>
        <sz val="11"/>
        <color theme="1"/>
        <rFont val="Calibri"/>
        <family val="2"/>
        <scheme val="minor"/>
      </rPr>
      <t xml:space="preserve"> = yksi rivi tilastossa.</t>
    </r>
  </si>
  <si>
    <r>
      <rPr>
        <b/>
        <sz val="11"/>
        <color theme="1"/>
        <rFont val="Calibri"/>
        <family val="2"/>
        <scheme val="minor"/>
      </rPr>
      <t xml:space="preserve">Tapahtuma </t>
    </r>
    <r>
      <rPr>
        <sz val="11"/>
        <color theme="1"/>
        <rFont val="Calibri"/>
        <family val="2"/>
        <scheme val="minor"/>
      </rPr>
      <t>= yksi samanlainen sisältö, samalle kohderyhmälle, samalle alueellisuudelle, samalle ikäryhmälle ja samalle erityisryhmälle. Voit halutessasi täyttää yhdelle riville useita tapahtumia, jos ne täyttävät kaikki nämä kriteerit.</t>
    </r>
  </si>
  <si>
    <t>Ohjeet löytyvät PDF-tiedostona osoitteesta http://www.lastenkulttuuri.fi/lastenkulttuuritieto/tutkimukset-ja-tilastot/</t>
  </si>
  <si>
    <r>
      <rPr>
        <b/>
        <sz val="11"/>
        <color theme="1"/>
        <rFont val="Calibri"/>
        <family val="2"/>
        <scheme val="minor"/>
      </rPr>
      <t>Nimi</t>
    </r>
    <r>
      <rPr>
        <sz val="11"/>
        <color theme="1"/>
        <rFont val="Calibri"/>
        <family val="2"/>
        <scheme val="minor"/>
      </rPr>
      <t xml:space="preserve"> | Merkitse toimintatiedon nimi. Huomioi nimeämisessä, että käytät itsellesi soveltuvaa logiikkaa, jotta tietojen suodatettavuus helpottuu.</t>
    </r>
  </si>
  <si>
    <r>
      <rPr>
        <b/>
        <sz val="11"/>
        <color theme="1"/>
        <rFont val="Calibri"/>
        <family val="2"/>
        <scheme val="minor"/>
      </rPr>
      <t>Tapahtumien määrä</t>
    </r>
    <r>
      <rPr>
        <sz val="11"/>
        <color theme="1"/>
        <rFont val="Calibri"/>
        <family val="2"/>
        <scheme val="minor"/>
      </rPr>
      <t xml:space="preserve"> | Merkitse, kuinka monta tapahtumaa ilmoitat yhdessä toimintatiedossa.</t>
    </r>
  </si>
  <si>
    <r>
      <rPr>
        <b/>
        <sz val="11"/>
        <color theme="1"/>
        <rFont val="Calibri"/>
        <family val="2"/>
        <scheme val="minor"/>
      </rPr>
      <t>Toiminta</t>
    </r>
    <r>
      <rPr>
        <sz val="11"/>
        <color theme="1"/>
        <rFont val="Calibri"/>
        <family val="2"/>
        <scheme val="minor"/>
      </rPr>
      <t xml:space="preserve"> | Valitse yksi tapahtumaa kuvaava toiminta. Mikäli toimintaa kuvaa useampi kohta valitse se joka kuvaa toimintaa parhaiten.</t>
    </r>
  </si>
  <si>
    <r>
      <rPr>
        <b/>
        <sz val="11"/>
        <color theme="1"/>
        <rFont val="Calibri"/>
        <family val="2"/>
        <scheme val="minor"/>
      </rPr>
      <t>a) Yleisölle avoin toiminta</t>
    </r>
    <r>
      <rPr>
        <sz val="11"/>
        <color theme="1"/>
        <rFont val="Calibri"/>
        <family val="2"/>
        <scheme val="minor"/>
      </rPr>
      <t xml:space="preserve"> | Toiminta, jota tarjotaan kaikille avoimena. Esim. yleisötilaisuudet, jotka eivät ole osa isompaa tapahtumakokonaisuutta.  </t>
    </r>
  </si>
  <si>
    <r>
      <rPr>
        <b/>
        <sz val="11"/>
        <color theme="1"/>
        <rFont val="Calibri"/>
        <family val="2"/>
        <scheme val="minor"/>
      </rPr>
      <t>b) Kulttuurikasvatus</t>
    </r>
    <r>
      <rPr>
        <sz val="11"/>
        <color theme="1"/>
        <rFont val="Calibri"/>
        <family val="2"/>
        <scheme val="minor"/>
      </rPr>
      <t xml:space="preserve"> | Kouluille ja päiväkodeille suunnattu, koulupäivään tai päiväkotipäivään sisältyvä toiminta</t>
    </r>
  </si>
  <si>
    <r>
      <rPr>
        <b/>
        <sz val="11"/>
        <color theme="1"/>
        <rFont val="Calibri"/>
        <family val="2"/>
        <scheme val="minor"/>
      </rPr>
      <t>c) Tapahtumakokonaisuudet</t>
    </r>
    <r>
      <rPr>
        <sz val="11"/>
        <color theme="1"/>
        <rFont val="Calibri"/>
        <family val="2"/>
        <scheme val="minor"/>
      </rPr>
      <t xml:space="preserve"> | Festivaalit ja pidemmät tai laajemmat tapahtumasarjat, jotka voidaan mieltää yhdeksi kokonaisuudeksi.</t>
    </r>
  </si>
  <si>
    <r>
      <rPr>
        <b/>
        <sz val="11"/>
        <color theme="1"/>
        <rFont val="Calibri"/>
        <family val="2"/>
        <scheme val="minor"/>
      </rPr>
      <t>d) Muu</t>
    </r>
    <r>
      <rPr>
        <sz val="11"/>
        <color theme="1"/>
        <rFont val="Calibri"/>
        <family val="2"/>
        <scheme val="minor"/>
      </rPr>
      <t xml:space="preserve"> | Muu toimintamuoto, joka ei vastaa edellisiä määritelmiä ja/tai se on suunnattu vain tietylle, rajatulle kohderyhmälle (esim. vankila)</t>
    </r>
  </si>
  <si>
    <r>
      <rPr>
        <b/>
        <sz val="11"/>
        <color theme="1"/>
        <rFont val="Calibri"/>
        <family val="2"/>
        <scheme val="minor"/>
      </rPr>
      <t>Sisältö</t>
    </r>
    <r>
      <rPr>
        <sz val="11"/>
        <color theme="1"/>
        <rFont val="Calibri"/>
        <family val="2"/>
        <scheme val="minor"/>
      </rPr>
      <t xml:space="preserve"> | Valitse yksi tapahtumaa kuvaava sisältö. Mikäli sisältö koostuu useista osasista, joiden kävijätiedot tiedetään, jaa se useammalle riville. Näin saadaan tilastoitua myös työpajojen määrää ja esitysten määrää.</t>
    </r>
  </si>
  <si>
    <r>
      <rPr>
        <b/>
        <sz val="11"/>
        <color theme="1"/>
        <rFont val="Calibri"/>
        <family val="2"/>
        <scheme val="minor"/>
      </rPr>
      <t>a) Esitys</t>
    </r>
    <r>
      <rPr>
        <sz val="11"/>
        <color theme="1"/>
        <rFont val="Calibri"/>
        <family val="2"/>
        <scheme val="minor"/>
      </rPr>
      <t xml:space="preserve"> | Yksittäinen tapahtuma, jolla on seuraajia.</t>
    </r>
  </si>
  <si>
    <r>
      <rPr>
        <b/>
        <sz val="11"/>
        <color theme="1"/>
        <rFont val="Calibri"/>
        <family val="2"/>
        <scheme val="minor"/>
      </rPr>
      <t>b) Työpaja</t>
    </r>
    <r>
      <rPr>
        <sz val="11"/>
        <color theme="1"/>
        <rFont val="Calibri"/>
        <family val="2"/>
        <scheme val="minor"/>
      </rPr>
      <t xml:space="preserve"> | Ohjaajan vetämä toiminnallinen sisältö, joka tapahtuu yhden yksittäisen kerran tai useita kertoja, muttei ole harrastustoimintaa.</t>
    </r>
  </si>
  <si>
    <r>
      <rPr>
        <b/>
        <sz val="11"/>
        <color theme="1"/>
        <rFont val="Calibri"/>
        <family val="2"/>
        <scheme val="minor"/>
      </rPr>
      <t>c) Harrastustoiminta</t>
    </r>
    <r>
      <rPr>
        <sz val="11"/>
        <color theme="1"/>
        <rFont val="Calibri"/>
        <family val="2"/>
        <scheme val="minor"/>
      </rPr>
      <t xml:space="preserve"> | Toimintaa, joka tapahtuu kohderyhmän vapaa-aikana ja on toistuvaa/pitkäkestoista pysyvämmälle ryhmälle suunnattua.</t>
    </r>
  </si>
  <si>
    <r>
      <rPr>
        <b/>
        <sz val="11"/>
        <color theme="1"/>
        <rFont val="Calibri"/>
        <family val="2"/>
        <scheme val="minor"/>
      </rPr>
      <t>d) Avoin kulttuurikeskustoiminta</t>
    </r>
    <r>
      <rPr>
        <sz val="11"/>
        <color theme="1"/>
        <rFont val="Calibri"/>
        <family val="2"/>
        <scheme val="minor"/>
      </rPr>
      <t xml:space="preserve"> | Nonstop-tyyppistä toimintaa, johon voi vain kävellä (voi olla myös maksullinen ”alue”). Esimerkiksi tiettyinä kellonaikoina avoinna oleva perhekahvilatoiminta.</t>
    </r>
  </si>
  <si>
    <r>
      <rPr>
        <b/>
        <sz val="11"/>
        <color theme="1"/>
        <rFont val="Calibri"/>
        <family val="2"/>
        <scheme val="minor"/>
      </rPr>
      <t>e) Yleisötilaisuus</t>
    </r>
    <r>
      <rPr>
        <sz val="11"/>
        <color theme="1"/>
        <rFont val="Calibri"/>
        <family val="2"/>
        <scheme val="minor"/>
      </rPr>
      <t xml:space="preserve">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r>
  </si>
  <si>
    <r>
      <rPr>
        <b/>
        <sz val="11"/>
        <color theme="1"/>
        <rFont val="Calibri"/>
        <family val="2"/>
        <scheme val="minor"/>
      </rPr>
      <t>f) Näyttely</t>
    </r>
    <r>
      <rPr>
        <sz val="11"/>
        <color theme="1"/>
        <rFont val="Calibri"/>
        <family val="2"/>
        <scheme val="minor"/>
      </rPr>
      <t xml:space="preserve"> | Tapahtuma, missä esitellään lyhyt- tai pitkäkestoisesti eri taiteenalojen tuotoksia.</t>
    </r>
  </si>
  <si>
    <r>
      <rPr>
        <b/>
        <sz val="11"/>
        <color theme="1"/>
        <rFont val="Calibri"/>
        <family val="2"/>
        <scheme val="minor"/>
      </rPr>
      <t>g) Verkkosisältö</t>
    </r>
    <r>
      <rPr>
        <sz val="11"/>
        <color theme="1"/>
        <rFont val="Calibri"/>
        <family val="2"/>
        <scheme val="minor"/>
      </rPr>
      <t xml:space="preserve"> | Sisältöä tai toimintaa, joka tapahtuu ja on koettavissa ja osallistuttavissa ainoastaan internetin välityksellä. Ei verkkosivut, vaan räätälöityä sisältöä.</t>
    </r>
  </si>
  <si>
    <r>
      <rPr>
        <b/>
        <sz val="11"/>
        <color theme="1"/>
        <rFont val="Calibri"/>
        <family val="2"/>
        <scheme val="minor"/>
      </rPr>
      <t>h) Koulutus</t>
    </r>
    <r>
      <rPr>
        <sz val="11"/>
        <color theme="1"/>
        <rFont val="Calibri"/>
        <family val="2"/>
        <scheme val="minor"/>
      </rPr>
      <t xml:space="preserve"> | Luento, seminaari tai koulutuskokonaisuus.</t>
    </r>
  </si>
  <si>
    <r>
      <rPr>
        <b/>
        <sz val="11"/>
        <color theme="1"/>
        <rFont val="Calibri"/>
        <family val="2"/>
        <scheme val="minor"/>
      </rPr>
      <t>i) Opastus</t>
    </r>
    <r>
      <rPr>
        <sz val="11"/>
        <color theme="1"/>
        <rFont val="Calibri"/>
        <family val="2"/>
        <scheme val="minor"/>
      </rPr>
      <t xml:space="preserve"> | Ohjaajan vetämä sisältöä, paikkaa, toimintaa tms. esittelevä toiminto, jota ei voi luokitella työpajaksi. Esimerkiksi soitinopastus, näyttelyopastus tai lastenkulttuurikeskuksen toiminnan esittely.</t>
    </r>
  </si>
  <si>
    <r>
      <rPr>
        <b/>
        <sz val="11"/>
        <color theme="1"/>
        <rFont val="Calibri"/>
        <family val="2"/>
        <scheme val="minor"/>
      </rPr>
      <t>j) Joku muu</t>
    </r>
    <r>
      <rPr>
        <sz val="11"/>
        <color theme="1"/>
        <rFont val="Calibri"/>
        <family val="2"/>
        <scheme val="minor"/>
      </rPr>
      <t xml:space="preserve"> | Muu sisältö, joka ei vastaa edellisiä määritelmiä.</t>
    </r>
  </si>
  <si>
    <r>
      <rPr>
        <b/>
        <sz val="11"/>
        <color theme="1"/>
        <rFont val="Calibri"/>
        <family val="2"/>
        <scheme val="minor"/>
      </rPr>
      <t>Kohderyhmä</t>
    </r>
    <r>
      <rPr>
        <sz val="11"/>
        <color theme="1"/>
        <rFont val="Calibri"/>
        <family val="2"/>
        <scheme val="minor"/>
      </rPr>
      <t xml:space="preserve"> | Ensisijainen ryhmä, jolle tapahtuma on suunnattu. Valitse yksi.</t>
    </r>
  </si>
  <si>
    <r>
      <rPr>
        <b/>
        <sz val="11"/>
        <color theme="1"/>
        <rFont val="Calibri"/>
        <family val="2"/>
        <scheme val="minor"/>
      </rPr>
      <t xml:space="preserve">a) Lapsille </t>
    </r>
    <r>
      <rPr>
        <sz val="11"/>
        <color theme="1"/>
        <rFont val="Calibri"/>
        <family val="2"/>
        <scheme val="minor"/>
      </rPr>
      <t>| Toiminta, joka on suunnattu lapsille.</t>
    </r>
  </si>
  <si>
    <r>
      <rPr>
        <b/>
        <sz val="11"/>
        <color theme="1"/>
        <rFont val="Calibri"/>
        <family val="2"/>
        <scheme val="minor"/>
      </rPr>
      <t>b) Nuorille</t>
    </r>
    <r>
      <rPr>
        <sz val="11"/>
        <color theme="1"/>
        <rFont val="Calibri"/>
        <family val="2"/>
        <scheme val="minor"/>
      </rPr>
      <t xml:space="preserve"> | Toiminta, joka on suunnattu nuorille.</t>
    </r>
  </si>
  <si>
    <r>
      <rPr>
        <b/>
        <sz val="11"/>
        <color theme="1"/>
        <rFont val="Calibri"/>
        <family val="2"/>
        <scheme val="minor"/>
      </rPr>
      <t>c) Perheille</t>
    </r>
    <r>
      <rPr>
        <sz val="11"/>
        <color theme="1"/>
        <rFont val="Calibri"/>
        <family val="2"/>
        <scheme val="minor"/>
      </rPr>
      <t xml:space="preserve"> | Valitse tämä jos omalla aikuisella on mahdollisuus osallistua toimintaan lapsen kanssa</t>
    </r>
  </si>
  <si>
    <r>
      <rPr>
        <b/>
        <sz val="11"/>
        <color theme="1"/>
        <rFont val="Calibri"/>
        <family val="2"/>
        <scheme val="minor"/>
      </rPr>
      <t>d) Kouluille</t>
    </r>
    <r>
      <rPr>
        <sz val="11"/>
        <color theme="1"/>
        <rFont val="Calibri"/>
        <family val="2"/>
        <scheme val="minor"/>
      </rPr>
      <t xml:space="preserve"> | Toiminta, joka on suunnattu koululaisille ja tapahtuu kouluaikaan osana koulupäivää.</t>
    </r>
  </si>
  <si>
    <r>
      <rPr>
        <b/>
        <sz val="11"/>
        <color theme="1"/>
        <rFont val="Calibri"/>
        <family val="2"/>
        <scheme val="minor"/>
      </rPr>
      <t>e) Varhaiskasvatukselle</t>
    </r>
    <r>
      <rPr>
        <sz val="11"/>
        <color theme="1"/>
        <rFont val="Calibri"/>
        <family val="2"/>
        <scheme val="minor"/>
      </rPr>
      <t xml:space="preserve"> | Toimintaa, joka on suunnattu varhaiskasvatuksen piirissä oleville lapsille osana päiväkotipäivää. Esiopetus kirjataan tässä tilastolla osaksi varhaiskasvatusta.</t>
    </r>
  </si>
  <si>
    <r>
      <rPr>
        <b/>
        <sz val="11"/>
        <color theme="1"/>
        <rFont val="Calibri"/>
        <family val="2"/>
        <scheme val="minor"/>
      </rPr>
      <t>f) Aikuisille</t>
    </r>
    <r>
      <rPr>
        <sz val="11"/>
        <color theme="1"/>
        <rFont val="Calibri"/>
        <family val="2"/>
        <scheme val="minor"/>
      </rPr>
      <t xml:space="preserve"> | Vain aikuisille suunnattu toiminta. Myös opettajille tai varhaiskasvatuksen henkilöstölle suunnattu toiminta kuuluu tähän.</t>
    </r>
  </si>
  <si>
    <r>
      <rPr>
        <b/>
        <sz val="11"/>
        <color theme="1"/>
        <rFont val="Calibri"/>
        <family val="2"/>
        <scheme val="minor"/>
      </rPr>
      <t>d) Useille kohderyhmille</t>
    </r>
    <r>
      <rPr>
        <sz val="11"/>
        <color theme="1"/>
        <rFont val="Calibri"/>
        <family val="2"/>
        <scheme val="minor"/>
      </rPr>
      <t xml:space="preserve"> | Toiminta, joka on suunnattu usealle edellä mainituista kohderyhmistä eikä ensisijaista kohderyhmää voi valita.</t>
    </r>
  </si>
  <si>
    <r>
      <rPr>
        <b/>
        <sz val="11"/>
        <color theme="1"/>
        <rFont val="Calibri"/>
        <family val="2"/>
        <scheme val="minor"/>
      </rPr>
      <t xml:space="preserve">Alueellisuus </t>
    </r>
    <r>
      <rPr>
        <sz val="11"/>
        <color theme="1"/>
        <rFont val="Calibri"/>
        <family val="2"/>
        <scheme val="minor"/>
      </rPr>
      <t>| Minkä alueen ihmisille sisältö on suunnattu. Minkä alueen ihmisille toiminnasta on tiedotettu. HUOM! Valitse alue sen mukaan kenelle on suunnattu, ei tekijän, paikan tai toteutuneen kävijäkunnan mukaan!</t>
    </r>
  </si>
  <si>
    <r>
      <rPr>
        <b/>
        <sz val="11"/>
        <color theme="1"/>
        <rFont val="Calibri"/>
        <family val="2"/>
        <scheme val="minor"/>
      </rPr>
      <t xml:space="preserve">a) Paikallinen </t>
    </r>
    <r>
      <rPr>
        <sz val="11"/>
        <color theme="1"/>
        <rFont val="Calibri"/>
        <family val="2"/>
        <scheme val="minor"/>
      </rPr>
      <t>| Toiminta on suunnattu keskuksen kotipaikkakunnan ihmisille.</t>
    </r>
  </si>
  <si>
    <r>
      <rPr>
        <b/>
        <sz val="11"/>
        <color theme="1"/>
        <rFont val="Calibri"/>
        <family val="2"/>
        <scheme val="minor"/>
      </rPr>
      <t>b) Alueellinen</t>
    </r>
    <r>
      <rPr>
        <sz val="11"/>
        <color theme="1"/>
        <rFont val="Calibri"/>
        <family val="2"/>
        <scheme val="minor"/>
      </rPr>
      <t xml:space="preserve"> | Toiminta on suunnattu laajemmalle toiminta-alueelle, jossa toimitaan säännöllisesti.</t>
    </r>
  </si>
  <si>
    <r>
      <rPr>
        <b/>
        <sz val="11"/>
        <color theme="1"/>
        <rFont val="Calibri"/>
        <family val="2"/>
        <scheme val="minor"/>
      </rPr>
      <t>c) Valtakunnallinen</t>
    </r>
    <r>
      <rPr>
        <sz val="11"/>
        <color theme="1"/>
        <rFont val="Calibri"/>
        <family val="2"/>
        <scheme val="minor"/>
      </rPr>
      <t xml:space="preserve"> | Toiminta on suunnattu useille alueille tai koko Suomelle. </t>
    </r>
  </si>
  <si>
    <r>
      <rPr>
        <b/>
        <sz val="11"/>
        <color theme="1"/>
        <rFont val="Calibri"/>
        <family val="2"/>
        <scheme val="minor"/>
      </rPr>
      <t>d) Kansainvälinen</t>
    </r>
    <r>
      <rPr>
        <sz val="11"/>
        <color theme="1"/>
        <rFont val="Calibri"/>
        <family val="2"/>
        <scheme val="minor"/>
      </rPr>
      <t xml:space="preserve"> | Toiminta on suunnattu kansainväliselle yleisölle.</t>
    </r>
  </si>
  <si>
    <r>
      <rPr>
        <b/>
        <sz val="11"/>
        <color theme="1"/>
        <rFont val="Calibri"/>
        <family val="2"/>
        <scheme val="minor"/>
      </rPr>
      <t>Kohderyhmän lisätieto</t>
    </r>
    <r>
      <rPr>
        <sz val="11"/>
        <color theme="1"/>
        <rFont val="Calibri"/>
        <family val="2"/>
        <scheme val="minor"/>
      </rPr>
      <t xml:space="preserve"> | Merkitse halutessasi tarkemmin kohderyhmästä esimerkiksi ammattiryhmä/luokka/koulun nimi/päiväkotiryhmän nimi</t>
    </r>
  </si>
  <si>
    <r>
      <rPr>
        <b/>
        <sz val="11"/>
        <color theme="1"/>
        <rFont val="Calibri"/>
        <family val="2"/>
        <scheme val="minor"/>
      </rPr>
      <t xml:space="preserve">Ikäryhmä </t>
    </r>
    <r>
      <rPr>
        <sz val="11"/>
        <color theme="1"/>
        <rFont val="Calibri"/>
        <family val="2"/>
        <scheme val="minor"/>
      </rPr>
      <t>| Valitse yksi. Valitse ensisijaisen kohderyhmän mukaan. Vastataan toteutuneiden osallistujien mukaan.</t>
    </r>
  </si>
  <si>
    <r>
      <rPr>
        <b/>
        <sz val="11"/>
        <color theme="1"/>
        <rFont val="Calibri"/>
        <family val="2"/>
        <scheme val="minor"/>
      </rPr>
      <t>a) Vauvat ja taaperot</t>
    </r>
    <r>
      <rPr>
        <sz val="11"/>
        <color theme="1"/>
        <rFont val="Calibri"/>
        <family val="2"/>
        <scheme val="minor"/>
      </rPr>
      <t xml:space="preserve"> | n. 0–3-vuotiaat</t>
    </r>
  </si>
  <si>
    <t>Lisää taulukon toiminnallisuuksista koulutusmateriaalissa, jonka voit ladata lastenkulttuuri.fi-sivuilta kohdasta lastenkulttuuritieto -&gt; Tutkimukset ja tilastot (PowerPoint).</t>
  </si>
  <si>
    <r>
      <rPr>
        <b/>
        <sz val="11"/>
        <color theme="1"/>
        <rFont val="Calibri"/>
        <family val="2"/>
        <scheme val="minor"/>
      </rPr>
      <t>b) Leikki-ikäiset</t>
    </r>
    <r>
      <rPr>
        <sz val="11"/>
        <color theme="1"/>
        <rFont val="Calibri"/>
        <family val="2"/>
        <scheme val="minor"/>
      </rPr>
      <t xml:space="preserve"> | n. 3–6-vuotiaat</t>
    </r>
  </si>
  <si>
    <r>
      <rPr>
        <b/>
        <sz val="11"/>
        <color theme="1"/>
        <rFont val="Calibri"/>
        <family val="2"/>
        <scheme val="minor"/>
      </rPr>
      <t>c) Alle kouluikäiset</t>
    </r>
    <r>
      <rPr>
        <sz val="11"/>
        <color theme="1"/>
        <rFont val="Calibri"/>
        <family val="2"/>
        <scheme val="minor"/>
      </rPr>
      <t xml:space="preserve"> | n. 0–6-vuotiaat, sisältäen esikouluikäiset</t>
    </r>
  </si>
  <si>
    <r>
      <rPr>
        <b/>
        <sz val="11"/>
        <color theme="1"/>
        <rFont val="Calibri"/>
        <family val="2"/>
        <scheme val="minor"/>
      </rPr>
      <t>d) Alakouluikäiset</t>
    </r>
    <r>
      <rPr>
        <sz val="11"/>
        <color theme="1"/>
        <rFont val="Calibri"/>
        <family val="2"/>
        <scheme val="minor"/>
      </rPr>
      <t xml:space="preserve"> | n. 6–12-vuotiaat</t>
    </r>
  </si>
  <si>
    <r>
      <rPr>
        <b/>
        <sz val="11"/>
        <color theme="1"/>
        <rFont val="Calibri"/>
        <family val="2"/>
        <scheme val="minor"/>
      </rPr>
      <t>e) Yläkouluikäiset</t>
    </r>
    <r>
      <rPr>
        <sz val="11"/>
        <color theme="1"/>
        <rFont val="Calibri"/>
        <family val="2"/>
        <scheme val="minor"/>
      </rPr>
      <t xml:space="preserve"> | n. 12–16-vuotiaat</t>
    </r>
  </si>
  <si>
    <r>
      <rPr>
        <b/>
        <sz val="11"/>
        <color theme="1"/>
        <rFont val="Calibri"/>
        <family val="2"/>
        <scheme val="minor"/>
      </rPr>
      <t>f) Lukioikäiset</t>
    </r>
    <r>
      <rPr>
        <sz val="11"/>
        <color theme="1"/>
        <rFont val="Calibri"/>
        <family val="2"/>
        <scheme val="minor"/>
      </rPr>
      <t xml:space="preserve"> | n. 16–19-vuotiaat, sisältäen kaikki 2. asteen opiskelijat</t>
    </r>
  </si>
  <si>
    <r>
      <rPr>
        <b/>
        <sz val="11"/>
        <color theme="1"/>
        <rFont val="Calibri"/>
        <family val="2"/>
        <scheme val="minor"/>
      </rPr>
      <t>g) Nuoret aikuiset</t>
    </r>
    <r>
      <rPr>
        <sz val="11"/>
        <color theme="1"/>
        <rFont val="Calibri"/>
        <family val="2"/>
        <scheme val="minor"/>
      </rPr>
      <t xml:space="preserve"> | n. 19–29-vuotiaat</t>
    </r>
  </si>
  <si>
    <r>
      <rPr>
        <b/>
        <sz val="11"/>
        <color theme="1"/>
        <rFont val="Calibri"/>
        <family val="2"/>
        <scheme val="minor"/>
      </rPr>
      <t>h) 0–12-vuotiaat</t>
    </r>
    <r>
      <rPr>
        <sz val="11"/>
        <color theme="1"/>
        <rFont val="Calibri"/>
        <family val="2"/>
        <scheme val="minor"/>
      </rPr>
      <t xml:space="preserve"> |  </t>
    </r>
  </si>
  <si>
    <r>
      <rPr>
        <b/>
        <sz val="11"/>
        <color theme="1"/>
        <rFont val="Calibri"/>
        <family val="2"/>
        <scheme val="minor"/>
      </rPr>
      <t>i) 13–18-vuotiaat</t>
    </r>
    <r>
      <rPr>
        <sz val="11"/>
        <color theme="1"/>
        <rFont val="Calibri"/>
        <family val="2"/>
        <scheme val="minor"/>
      </rPr>
      <t xml:space="preserve"> | </t>
    </r>
  </si>
  <si>
    <r>
      <rPr>
        <b/>
        <sz val="11"/>
        <color theme="1"/>
        <rFont val="Calibri"/>
        <family val="2"/>
        <scheme val="minor"/>
      </rPr>
      <t>j) 16–29-vuotiaat</t>
    </r>
    <r>
      <rPr>
        <sz val="11"/>
        <color theme="1"/>
        <rFont val="Calibri"/>
        <family val="2"/>
        <scheme val="minor"/>
      </rPr>
      <t xml:space="preserve"> | </t>
    </r>
  </si>
  <si>
    <r>
      <rPr>
        <b/>
        <sz val="11"/>
        <color theme="1"/>
        <rFont val="Calibri"/>
        <family val="2"/>
        <scheme val="minor"/>
      </rPr>
      <t>k) Aikuiset</t>
    </r>
    <r>
      <rPr>
        <sz val="11"/>
        <color theme="1"/>
        <rFont val="Calibri"/>
        <family val="2"/>
        <scheme val="minor"/>
      </rPr>
      <t xml:space="preserve"> | </t>
    </r>
  </si>
  <si>
    <r>
      <rPr>
        <b/>
        <sz val="11"/>
        <color theme="1"/>
        <rFont val="Calibri"/>
        <family val="2"/>
        <scheme val="minor"/>
      </rPr>
      <t>l) Ikäihmiset</t>
    </r>
    <r>
      <rPr>
        <sz val="11"/>
        <color theme="1"/>
        <rFont val="Calibri"/>
        <family val="2"/>
        <scheme val="minor"/>
      </rPr>
      <t xml:space="preserve"> | Ikäihmisillä tarkoitetaan yli 60-vuotiaita eläköityneitä ihmisiä.</t>
    </r>
  </si>
  <si>
    <r>
      <rPr>
        <b/>
        <sz val="11"/>
        <color theme="1"/>
        <rFont val="Calibri"/>
        <family val="2"/>
        <scheme val="minor"/>
      </rPr>
      <t>m) Joku muu</t>
    </r>
    <r>
      <rPr>
        <sz val="11"/>
        <color theme="1"/>
        <rFont val="Calibri"/>
        <family val="2"/>
        <scheme val="minor"/>
      </rPr>
      <t xml:space="preserve"> | Valitse tämä mikäli mikään edellisistä tai useampi on ensisijainen kohderyhmä.</t>
    </r>
  </si>
  <si>
    <r>
      <rPr>
        <b/>
        <sz val="11"/>
        <color theme="1"/>
        <rFont val="Calibri"/>
        <family val="2"/>
        <scheme val="minor"/>
      </rPr>
      <t>AlkuPvm</t>
    </r>
    <r>
      <rPr>
        <sz val="11"/>
        <color theme="1"/>
        <rFont val="Calibri"/>
        <family val="2"/>
        <scheme val="minor"/>
      </rPr>
      <t xml:space="preserve"> | Merkitse tapahtuman aloituspäivämäärä muodossa 1.1.2016</t>
    </r>
  </si>
  <si>
    <r>
      <rPr>
        <b/>
        <sz val="11"/>
        <color theme="1"/>
        <rFont val="Calibri"/>
        <family val="2"/>
        <scheme val="minor"/>
      </rPr>
      <t>LoppuPvm</t>
    </r>
    <r>
      <rPr>
        <sz val="11"/>
        <color theme="1"/>
        <rFont val="Calibri"/>
        <family val="2"/>
        <scheme val="minor"/>
      </rPr>
      <t xml:space="preserve"> | Merkitse tapahtuman lopetuspäivämäärä muodossa 12.1.2016</t>
    </r>
  </si>
  <si>
    <r>
      <rPr>
        <b/>
        <sz val="11"/>
        <color theme="1"/>
        <rFont val="Calibri"/>
        <family val="2"/>
        <scheme val="minor"/>
      </rPr>
      <t>HUOM!</t>
    </r>
    <r>
      <rPr>
        <sz val="11"/>
        <color theme="1"/>
        <rFont val="Calibri"/>
        <family val="2"/>
        <scheme val="minor"/>
      </rPr>
      <t xml:space="preserve"> Mikäli kyse on vain yhden päivän aikana tapahtuneesta sisällöstä voit merkitä pelkän lopetuspäivämäärän. Lopetuspäivämäärä sarakkeen otsikosta voit suodattaa sisällöt lopetuspäivämäärän mukaan esimerkiksi neljännesvuosiraporttia varten.</t>
    </r>
  </si>
  <si>
    <r>
      <rPr>
        <b/>
        <sz val="11"/>
        <color theme="1"/>
        <rFont val="Calibri"/>
        <family val="2"/>
        <scheme val="minor"/>
      </rPr>
      <t>Tapahtumakunta</t>
    </r>
    <r>
      <rPr>
        <sz val="11"/>
        <color theme="1"/>
        <rFont val="Calibri"/>
        <family val="2"/>
        <scheme val="minor"/>
      </rPr>
      <t xml:space="preserve"> | Merkitse kunta, jossa sisältö toteutettiin. HUOM! Ei se kunta minkä asukkaille sisältö oli suunnattu vaan se missä sisältö toteutettiin.</t>
    </r>
  </si>
  <si>
    <r>
      <rPr>
        <b/>
        <sz val="11"/>
        <color theme="1"/>
        <rFont val="Calibri"/>
        <family val="2"/>
        <scheme val="minor"/>
      </rPr>
      <t>Tapahtumapaikka</t>
    </r>
    <r>
      <rPr>
        <sz val="11"/>
        <color theme="1"/>
        <rFont val="Calibri"/>
        <family val="2"/>
        <scheme val="minor"/>
      </rPr>
      <t xml:space="preserve"> | Merkitse tapahtumapaikka tarkemmin, esim. Tapahtumahallin sali</t>
    </r>
  </si>
  <si>
    <r>
      <rPr>
        <b/>
        <sz val="11"/>
        <color theme="1"/>
        <rFont val="Calibri"/>
        <family val="2"/>
        <scheme val="minor"/>
      </rPr>
      <t xml:space="preserve">Toiminta soveltuu erityisryhmille </t>
    </r>
    <r>
      <rPr>
        <sz val="11"/>
        <color theme="1"/>
        <rFont val="Calibri"/>
        <family val="2"/>
        <scheme val="minor"/>
      </rPr>
      <t>| Toiminta on sekä sisällöllisesti että fyysisesti esteetöntä. Erityislapsi eli erityistä tukea tarvitseva lapsi on yksilö, jonka tuen tarve on lisääntynyt. Toiminnan toteuttamisessa on huomioitu fyysinen (esim. liikuntarajoitteet) ja sisällöllinen (esim. kehitysvammat, neurologiset haasteet, aistivammat jne) esteettömyys.</t>
    </r>
  </si>
  <si>
    <r>
      <rPr>
        <b/>
        <sz val="11"/>
        <color theme="1"/>
        <rFont val="Calibri"/>
        <family val="2"/>
        <scheme val="minor"/>
      </rPr>
      <t>Toiminta on suunnattu erityisesti erityisryhmille</t>
    </r>
    <r>
      <rPr>
        <sz val="11"/>
        <color theme="1"/>
        <rFont val="Calibri"/>
        <family val="2"/>
        <scheme val="minor"/>
      </rPr>
      <t xml:space="preserve"> | Toiminnan suunnittelussa on huomioitu jonkun tietyn vammaryhmien erityistarpeet ja toiminnasta viestitään tälle kohderyhmälle.</t>
    </r>
  </si>
  <si>
    <r>
      <rPr>
        <b/>
        <sz val="11"/>
        <color theme="1"/>
        <rFont val="Calibri"/>
        <family val="2"/>
        <scheme val="minor"/>
      </rPr>
      <t>Toiminta ei sovellu erityisryhmille</t>
    </r>
    <r>
      <rPr>
        <sz val="11"/>
        <color theme="1"/>
        <rFont val="Calibri"/>
        <family val="2"/>
        <scheme val="minor"/>
      </rPr>
      <t xml:space="preserve"> | Toiminta on fyysisesti tai sisällöllisesti esteellistä.</t>
    </r>
  </si>
  <si>
    <r>
      <rPr>
        <b/>
        <sz val="11"/>
        <color theme="1"/>
        <rFont val="Calibri"/>
        <family val="2"/>
        <scheme val="minor"/>
      </rPr>
      <t>Kieli</t>
    </r>
    <r>
      <rPr>
        <sz val="11"/>
        <color theme="1"/>
        <rFont val="Calibri"/>
        <family val="2"/>
        <scheme val="minor"/>
      </rPr>
      <t xml:space="preserve"> | Valitse yksi.</t>
    </r>
  </si>
  <si>
    <r>
      <rPr>
        <b/>
        <sz val="11"/>
        <color theme="1"/>
        <rFont val="Calibri"/>
        <family val="2"/>
        <scheme val="minor"/>
      </rPr>
      <t>Rahoitus</t>
    </r>
    <r>
      <rPr>
        <sz val="11"/>
        <color theme="1"/>
        <rFont val="Calibri"/>
        <family val="2"/>
        <scheme val="minor"/>
      </rPr>
      <t xml:space="preserve"> | Valitse yksi.</t>
    </r>
  </si>
  <si>
    <r>
      <rPr>
        <b/>
        <sz val="11"/>
        <color theme="1"/>
        <rFont val="Calibri"/>
        <family val="2"/>
        <scheme val="minor"/>
      </rPr>
      <t>a) Avustus lastenkulttuurikeskuksille (OKM)</t>
    </r>
    <r>
      <rPr>
        <sz val="11"/>
        <color theme="1"/>
        <rFont val="Calibri"/>
        <family val="2"/>
        <scheme val="minor"/>
      </rPr>
      <t xml:space="preserve"> | Tämä rahoitus sisältää sekä ministeriön avustuksen että sinne raportoitavan omarahoitusosuuden. Omarahoitusprosentti voi olla suurempi kuin 60% kuitenkin sen mukaan mitä keskus muutenkin raportoi ministeriöön (talouskertomus ja toimintakertomus).</t>
    </r>
  </si>
  <si>
    <r>
      <rPr>
        <b/>
        <sz val="11"/>
        <color theme="1"/>
        <rFont val="Calibri"/>
        <family val="2"/>
        <scheme val="minor"/>
      </rPr>
      <t>b) Taidetestaajat</t>
    </r>
    <r>
      <rPr>
        <sz val="11"/>
        <color theme="1"/>
        <rFont val="Calibri"/>
        <family val="2"/>
        <scheme val="minor"/>
      </rPr>
      <t xml:space="preserve"> | Voit käyttää taulukkopohjaa myös Taidetestaajat tilastointiin.</t>
    </r>
  </si>
  <si>
    <r>
      <rPr>
        <b/>
        <sz val="11"/>
        <color theme="1"/>
        <rFont val="Calibri"/>
        <family val="2"/>
        <scheme val="minor"/>
      </rPr>
      <t>c) Pelkkä omarahoitus</t>
    </r>
    <r>
      <rPr>
        <sz val="11"/>
        <color theme="1"/>
        <rFont val="Calibri"/>
        <family val="2"/>
        <scheme val="minor"/>
      </rPr>
      <t xml:space="preserve"> | Pelkällä omalla rahoituksella järjestetty toiminta, voi olla esimerkiksi kuntarahaa tai omaa tulonhankintaa, jota ei käytetä muun rahoituksen vastinrahoituksena.</t>
    </r>
  </si>
  <si>
    <r>
      <rPr>
        <b/>
        <sz val="11"/>
        <color theme="1"/>
        <rFont val="Calibri"/>
        <family val="2"/>
        <scheme val="minor"/>
      </rPr>
      <t>SUOMI 100</t>
    </r>
    <r>
      <rPr>
        <sz val="11"/>
        <color theme="1"/>
        <rFont val="Calibri"/>
        <family val="2"/>
        <scheme val="minor"/>
      </rPr>
      <t xml:space="preserve"> | Valitse yksi.</t>
    </r>
  </si>
  <si>
    <t xml:space="preserve">Tämä osio täytetään kerran vuodessa edellisen vuoden tiedoilla. Liitto kysyy tiedot sähköisellä kyselyllä huhtikuussa ja toimittaa niistä koonnin eteenpäin tilastokeskukselle. Voit halutessasi täyttää tiedot myös itsellesi muistiin taulukkopohjaan Perustietolomake-välilehdelle.  </t>
  </si>
  <si>
    <r>
      <rPr>
        <b/>
        <sz val="11"/>
        <color theme="1"/>
        <rFont val="Calibri"/>
        <family val="2"/>
        <scheme val="minor"/>
      </rPr>
      <t>Henkilötyövuosi</t>
    </r>
    <r>
      <rPr>
        <sz val="11"/>
        <color theme="1"/>
        <rFont val="Calibri"/>
        <family val="2"/>
        <scheme val="minor"/>
      </rPr>
      <t xml:space="preserve"> | Henkilötyövuosi kuvaa kokoaikaiseksi muutetun henkilön toteutunutta työpanosta.</t>
    </r>
  </si>
  <si>
    <r>
      <rPr>
        <b/>
        <sz val="11"/>
        <color theme="1"/>
        <rFont val="Calibri"/>
        <family val="2"/>
        <scheme val="minor"/>
      </rPr>
      <t>Palkallinen henkilöstö</t>
    </r>
    <r>
      <rPr>
        <sz val="11"/>
        <color theme="1"/>
        <rFont val="Calibri"/>
        <family val="2"/>
        <scheme val="minor"/>
      </rPr>
      <t xml:space="preserve"> | Henkilö, joka on ollut työsuhteessa keskukseen (myös palkkiot).</t>
    </r>
  </si>
  <si>
    <r>
      <rPr>
        <b/>
        <sz val="11"/>
        <color theme="1"/>
        <rFont val="Calibri"/>
        <family val="2"/>
        <scheme val="minor"/>
      </rPr>
      <t>Ostopalveluhenkilöstö</t>
    </r>
    <r>
      <rPr>
        <sz val="11"/>
        <color theme="1"/>
        <rFont val="Calibri"/>
        <family val="2"/>
        <scheme val="minor"/>
      </rPr>
      <t xml:space="preserve"> | Muu sopimussuhde keskukseen. Kirjataan sopimukseen sisältyvän työtuntimäärän mukaan.</t>
    </r>
  </si>
  <si>
    <r>
      <rPr>
        <b/>
        <sz val="11"/>
        <color theme="1"/>
        <rFont val="Calibri"/>
        <family val="2"/>
        <scheme val="minor"/>
      </rPr>
      <t xml:space="preserve">Palkaton henkilöstö </t>
    </r>
    <r>
      <rPr>
        <sz val="11"/>
        <color theme="1"/>
        <rFont val="Calibri"/>
        <family val="2"/>
        <scheme val="minor"/>
      </rPr>
      <t>| Vapaa-ehtoiset, harjoittelijat, siviilipalvelusmiehet, kuntoutujat, työkokeilijat ja henkilöt, joiden palkka rahoitetaan muualta (esim. 100% palkkatuki).</t>
    </r>
  </si>
  <si>
    <r>
      <rPr>
        <b/>
        <sz val="11"/>
        <color theme="1"/>
        <rFont val="Calibri"/>
        <family val="2"/>
        <scheme val="minor"/>
      </rPr>
      <t>Nuppiluku</t>
    </r>
    <r>
      <rPr>
        <sz val="11"/>
        <color theme="1"/>
        <rFont val="Calibri"/>
        <family val="2"/>
        <scheme val="minor"/>
      </rPr>
      <t xml:space="preserve"> | Henkilömäärä, joka keskuksella on työskennellyt ko. vuoden aikana liittyen lastenkulttuuripalveluiden toteuttamiseksi.</t>
    </r>
  </si>
  <si>
    <r>
      <rPr>
        <b/>
        <sz val="11"/>
        <color theme="1"/>
        <rFont val="Calibri"/>
        <family val="2"/>
        <scheme val="minor"/>
      </rPr>
      <t>Palkallinen henkilöstö</t>
    </r>
    <r>
      <rPr>
        <sz val="11"/>
        <color theme="1"/>
        <rFont val="Calibri"/>
        <family val="2"/>
        <scheme val="minor"/>
      </rPr>
      <t xml:space="preserve"> | Henkilö, joka on ollut työsuhteessa keskukseen (myös palkkiot, ei minimituntimäärää).</t>
    </r>
  </si>
  <si>
    <r>
      <rPr>
        <b/>
        <sz val="11"/>
        <color theme="1"/>
        <rFont val="Calibri"/>
        <family val="2"/>
        <scheme val="minor"/>
      </rPr>
      <t>Ostopalveluhenkilöstö</t>
    </r>
    <r>
      <rPr>
        <sz val="11"/>
        <color theme="1"/>
        <rFont val="Calibri"/>
        <family val="2"/>
        <scheme val="minor"/>
      </rPr>
      <t xml:space="preserve"> | Muu sopimussuhde keskukseen.</t>
    </r>
  </si>
  <si>
    <r>
      <rPr>
        <b/>
        <sz val="11"/>
        <color theme="1"/>
        <rFont val="Calibri"/>
        <family val="2"/>
        <scheme val="minor"/>
      </rPr>
      <t>Palkaton henkilöstö</t>
    </r>
    <r>
      <rPr>
        <sz val="11"/>
        <color theme="1"/>
        <rFont val="Calibri"/>
        <family val="2"/>
        <scheme val="minor"/>
      </rPr>
      <t xml:space="preserve"> | Vapaa-ehtoiset, harjoittelijat, siviilipalvelusmiehet, kuntoutujat.</t>
    </r>
  </si>
  <si>
    <r>
      <rPr>
        <b/>
        <sz val="11"/>
        <color theme="1"/>
        <rFont val="Calibri"/>
        <family val="2"/>
        <scheme val="minor"/>
      </rPr>
      <t>Nimike/ammattiryhmä</t>
    </r>
    <r>
      <rPr>
        <sz val="11"/>
        <color theme="1"/>
        <rFont val="Calibri"/>
        <family val="2"/>
        <scheme val="minor"/>
      </rPr>
      <t xml:space="preserve"> | Henkilömäärä, joka keskuksella on työskennellyt ko. vuoden aikana liittyen lastenkulttuuripalveluiden toteuttamiseksi jaettuna ammattiryhmittäin.</t>
    </r>
  </si>
  <si>
    <r>
      <rPr>
        <b/>
        <sz val="11"/>
        <color theme="1"/>
        <rFont val="Calibri"/>
        <family val="2"/>
        <scheme val="minor"/>
      </rPr>
      <t>Tilat</t>
    </r>
    <r>
      <rPr>
        <sz val="11"/>
        <color theme="1"/>
        <rFont val="Calibri"/>
        <family val="2"/>
        <scheme val="minor"/>
      </rPr>
      <t xml:space="preserve"> | Keskuksella vakituisessa käytössä olevat tilat (m2).</t>
    </r>
  </si>
  <si>
    <r>
      <rPr>
        <b/>
        <sz val="11"/>
        <color theme="1"/>
        <rFont val="Calibri"/>
        <family val="2"/>
        <scheme val="minor"/>
      </rPr>
      <t xml:space="preserve">Toimintatilat </t>
    </r>
    <r>
      <rPr>
        <sz val="11"/>
        <color theme="1"/>
        <rFont val="Calibri"/>
        <family val="2"/>
        <scheme val="minor"/>
      </rPr>
      <t>| Tilat, joissa toimintaa toteutetaan.</t>
    </r>
  </si>
  <si>
    <r>
      <rPr>
        <b/>
        <sz val="11"/>
        <color theme="1"/>
        <rFont val="Calibri"/>
        <family val="2"/>
        <scheme val="minor"/>
      </rPr>
      <t>Toimistotilat</t>
    </r>
    <r>
      <rPr>
        <sz val="11"/>
        <color theme="1"/>
        <rFont val="Calibri"/>
        <family val="2"/>
        <scheme val="minor"/>
      </rPr>
      <t xml:space="preserve"> | Toimisto- ja hallinnollisessa käytössä olevat tilat.</t>
    </r>
  </si>
  <si>
    <r>
      <rPr>
        <b/>
        <sz val="11"/>
        <color theme="1"/>
        <rFont val="Calibri"/>
        <family val="2"/>
        <scheme val="minor"/>
      </rPr>
      <t xml:space="preserve">Rahoitus </t>
    </r>
    <r>
      <rPr>
        <sz val="11"/>
        <color theme="1"/>
        <rFont val="Calibri"/>
        <family val="2"/>
        <scheme val="minor"/>
      </rPr>
      <t>| Keskuksen saama rahoitus edelliseltä vuodelta euromääräisesti.</t>
    </r>
  </si>
  <si>
    <r>
      <rPr>
        <b/>
        <sz val="11"/>
        <color theme="1"/>
        <rFont val="Calibri"/>
        <family val="2"/>
        <scheme val="minor"/>
      </rPr>
      <t>Lastenkulttuurikeskusten avustus (OKM)</t>
    </r>
    <r>
      <rPr>
        <sz val="11"/>
        <color theme="1"/>
        <rFont val="Calibri"/>
        <family val="2"/>
        <scheme val="minor"/>
      </rPr>
      <t xml:space="preserve"> | Sisältäen ainoastaan OKM:n yleisavustuksen lastenkulttuurikeskuksille.</t>
    </r>
  </si>
  <si>
    <r>
      <rPr>
        <b/>
        <sz val="11"/>
        <color theme="1"/>
        <rFont val="Calibri"/>
        <family val="2"/>
        <scheme val="minor"/>
      </rPr>
      <t>Muut Valtion yleisavustukset</t>
    </r>
    <r>
      <rPr>
        <sz val="11"/>
        <color theme="1"/>
        <rFont val="Calibri"/>
        <family val="2"/>
        <scheme val="minor"/>
      </rPr>
      <t xml:space="preserve"> | Sisältäen muut valtion yleisavustukset.</t>
    </r>
  </si>
  <si>
    <r>
      <rPr>
        <b/>
        <sz val="11"/>
        <color theme="1"/>
        <rFont val="Calibri"/>
        <family val="2"/>
        <scheme val="minor"/>
      </rPr>
      <t xml:space="preserve">Muut avustukset </t>
    </r>
    <r>
      <rPr>
        <sz val="11"/>
        <color theme="1"/>
        <rFont val="Calibri"/>
        <family val="2"/>
        <scheme val="minor"/>
      </rPr>
      <t>| Sisältäen valtion erityisavustukset, Eu-rahat, Säätiöt, muut määräaikaiset hankeavustukset tms.</t>
    </r>
  </si>
  <si>
    <r>
      <rPr>
        <b/>
        <sz val="11"/>
        <color theme="1"/>
        <rFont val="Calibri"/>
        <family val="2"/>
        <scheme val="minor"/>
      </rPr>
      <t>Kunnalta/kunnilta</t>
    </r>
    <r>
      <rPr>
        <sz val="11"/>
        <color theme="1"/>
        <rFont val="Calibri"/>
        <family val="2"/>
        <scheme val="minor"/>
      </rPr>
      <t xml:space="preserve"> | Kunnan/kuntien budjetissa keskuksen toimintaan budjetoidut määrärahat.</t>
    </r>
  </si>
  <si>
    <r>
      <rPr>
        <b/>
        <sz val="11"/>
        <color theme="1"/>
        <rFont val="Calibri"/>
        <family val="2"/>
        <scheme val="minor"/>
      </rPr>
      <t>Toiminnan tuotot</t>
    </r>
    <r>
      <rPr>
        <sz val="11"/>
        <color theme="1"/>
        <rFont val="Calibri"/>
        <family val="2"/>
        <scheme val="minor"/>
      </rPr>
      <t xml:space="preserve"> | Sisältäen esimerkiksi lipputulot, osallistumismaksut, myyntituotot ja yritysyhteistyön tuotot.</t>
    </r>
  </si>
  <si>
    <r>
      <rPr>
        <b/>
        <sz val="11"/>
        <color theme="1"/>
        <rFont val="Calibri"/>
        <family val="2"/>
        <scheme val="minor"/>
      </rPr>
      <t>Kustannukset</t>
    </r>
    <r>
      <rPr>
        <sz val="11"/>
        <color theme="1"/>
        <rFont val="Calibri"/>
        <family val="2"/>
        <scheme val="minor"/>
      </rPr>
      <t xml:space="preserve"> | Keskuksen kaikki kustannukset eriteltynä henkilöstöön, tiloihin ja kiinteistöihin sekä muihin kuluihin.</t>
    </r>
  </si>
  <si>
    <r>
      <rPr>
        <b/>
        <sz val="11"/>
        <color theme="1"/>
        <rFont val="Calibri"/>
        <family val="2"/>
        <scheme val="minor"/>
      </rPr>
      <t>Henkilöstökulut sivukuluineen</t>
    </r>
    <r>
      <rPr>
        <sz val="11"/>
        <color theme="1"/>
        <rFont val="Calibri"/>
        <family val="2"/>
        <scheme val="minor"/>
      </rPr>
      <t xml:space="preserve"> | Palkkakustannukset ja pakolliset sivukulut.</t>
    </r>
  </si>
  <si>
    <r>
      <rPr>
        <b/>
        <sz val="11"/>
        <color theme="1"/>
        <rFont val="Calibri"/>
        <family val="2"/>
        <scheme val="minor"/>
      </rPr>
      <t xml:space="preserve">Tila- ja kiinteistökulut </t>
    </r>
    <r>
      <rPr>
        <sz val="11"/>
        <color theme="1"/>
        <rFont val="Calibri"/>
        <family val="2"/>
        <scheme val="minor"/>
      </rPr>
      <t>| Vuokrat, kiinteistökustannukset, siivous yms.</t>
    </r>
  </si>
  <si>
    <r>
      <rPr>
        <b/>
        <sz val="11"/>
        <color theme="1"/>
        <rFont val="Calibri"/>
        <family val="2"/>
        <scheme val="minor"/>
      </rPr>
      <t xml:space="preserve">Muut kulut </t>
    </r>
    <r>
      <rPr>
        <sz val="11"/>
        <color theme="1"/>
        <rFont val="Calibri"/>
        <family val="2"/>
        <scheme val="minor"/>
      </rPr>
      <t>| Kaikki loput.</t>
    </r>
  </si>
  <si>
    <r>
      <rPr>
        <b/>
        <sz val="11"/>
        <color theme="1"/>
        <rFont val="Calibri"/>
        <family val="2"/>
        <scheme val="minor"/>
      </rPr>
      <t xml:space="preserve">LASTENKULTTUURIN TOIMINTAKENTTÄ </t>
    </r>
    <r>
      <rPr>
        <sz val="11"/>
        <color theme="1"/>
        <rFont val="Calibri"/>
        <family val="2"/>
        <scheme val="minor"/>
      </rPr>
      <t>| Tässä osiossa kartoitetaan kunkin keskuksen toimintakenttää ja näillä alueilla olevien joidenkin kohderyhmien lukumääriä ja kuinka paljon näitä kohderyhmiä on tavoitettu prosentuaalisesti edellisenä toimintavuotena.</t>
    </r>
  </si>
  <si>
    <r>
      <rPr>
        <b/>
        <sz val="11"/>
        <color theme="1"/>
        <rFont val="Calibri"/>
        <family val="2"/>
        <scheme val="minor"/>
      </rPr>
      <t>Toiminta-alue</t>
    </r>
    <r>
      <rPr>
        <sz val="11"/>
        <color theme="1"/>
        <rFont val="Calibri"/>
        <family val="2"/>
        <scheme val="minor"/>
      </rPr>
      <t xml:space="preserve"> |</t>
    </r>
  </si>
  <si>
    <r>
      <rPr>
        <b/>
        <sz val="11"/>
        <color theme="1"/>
        <rFont val="Calibri"/>
        <family val="2"/>
        <scheme val="minor"/>
      </rPr>
      <t>a) Ydintoiminta-alue</t>
    </r>
    <r>
      <rPr>
        <sz val="11"/>
        <color theme="1"/>
        <rFont val="Calibri"/>
        <family val="2"/>
        <scheme val="minor"/>
      </rPr>
      <t xml:space="preserve"> | Nimeä kunnat, joissa toimintaa on järjestetty säännöllisesti.</t>
    </r>
  </si>
  <si>
    <r>
      <rPr>
        <b/>
        <sz val="11"/>
        <color theme="1"/>
        <rFont val="Calibri"/>
        <family val="2"/>
        <scheme val="minor"/>
      </rPr>
      <t>b) Maakuntataso</t>
    </r>
    <r>
      <rPr>
        <sz val="11"/>
        <color theme="1"/>
        <rFont val="Calibri"/>
        <family val="2"/>
        <scheme val="minor"/>
      </rPr>
      <t xml:space="preserve"> | Nimeä kunnat/maakunta, joissa toimintaa on järjestetty.</t>
    </r>
  </si>
  <si>
    <r>
      <rPr>
        <b/>
        <sz val="11"/>
        <color theme="1"/>
        <rFont val="Calibri"/>
        <family val="2"/>
        <scheme val="minor"/>
      </rPr>
      <t>c) Valtakunnallinen</t>
    </r>
    <r>
      <rPr>
        <sz val="11"/>
        <color theme="1"/>
        <rFont val="Calibri"/>
        <family val="2"/>
        <scheme val="minor"/>
      </rPr>
      <t xml:space="preserve"> | Nimeä kunnat/alueet, joissa toimintaa on järjestetty.</t>
    </r>
  </si>
  <si>
    <r>
      <rPr>
        <b/>
        <sz val="11"/>
        <color theme="1"/>
        <rFont val="Calibri"/>
        <family val="2"/>
        <scheme val="minor"/>
      </rPr>
      <t>d) Kansainvälinen</t>
    </r>
    <r>
      <rPr>
        <sz val="11"/>
        <color theme="1"/>
        <rFont val="Calibri"/>
        <family val="2"/>
        <scheme val="minor"/>
      </rPr>
      <t xml:space="preserve"> | Nimeä maat, joissa toimintaa on järjestetty.</t>
    </r>
  </si>
  <si>
    <r>
      <rPr>
        <b/>
        <sz val="11"/>
        <color theme="1"/>
        <rFont val="Calibri"/>
        <family val="2"/>
        <scheme val="minor"/>
      </rPr>
      <t>Lasten määrä (alle 18-vuotiaat)</t>
    </r>
    <r>
      <rPr>
        <sz val="11"/>
        <color theme="1"/>
        <rFont val="Calibri"/>
        <family val="2"/>
        <scheme val="minor"/>
      </rPr>
      <t xml:space="preserve"> | Ilmoita alle 18-vuotiaiden lasten määrä alueella.</t>
    </r>
  </si>
  <si>
    <r>
      <rPr>
        <b/>
        <sz val="11"/>
        <color theme="1"/>
        <rFont val="Calibri"/>
        <family val="2"/>
        <scheme val="minor"/>
      </rPr>
      <t xml:space="preserve">Kuinka monta % tavoitetaan </t>
    </r>
    <r>
      <rPr>
        <sz val="11"/>
        <color theme="1"/>
        <rFont val="Calibri"/>
        <family val="2"/>
        <scheme val="minor"/>
      </rPr>
      <t>| Ilmoita toteutunut prosenttiosuus alueella tavoitetuista lapsista.</t>
    </r>
  </si>
  <si>
    <r>
      <rPr>
        <b/>
        <sz val="11"/>
        <color theme="1"/>
        <rFont val="Calibri"/>
        <family val="2"/>
        <scheme val="minor"/>
      </rPr>
      <t>Koulujen määrä</t>
    </r>
    <r>
      <rPr>
        <sz val="11"/>
        <color theme="1"/>
        <rFont val="Calibri"/>
        <family val="2"/>
        <scheme val="minor"/>
      </rPr>
      <t xml:space="preserve"> | Ilmoita alueen peruskoulujen määrä.</t>
    </r>
  </si>
  <si>
    <r>
      <rPr>
        <b/>
        <sz val="11"/>
        <color theme="1"/>
        <rFont val="Calibri"/>
        <family val="2"/>
        <scheme val="minor"/>
      </rPr>
      <t>Perusopetuksen piirissä olevien lasten määrä</t>
    </r>
    <r>
      <rPr>
        <sz val="11"/>
        <color theme="1"/>
        <rFont val="Calibri"/>
        <family val="2"/>
        <scheme val="minor"/>
      </rPr>
      <t xml:space="preserve"> | Ilmoita alueen perusopetuksen piirissä olevien lasten määrä.</t>
    </r>
  </si>
  <si>
    <r>
      <rPr>
        <b/>
        <sz val="11"/>
        <color theme="1"/>
        <rFont val="Calibri"/>
        <family val="2"/>
        <scheme val="minor"/>
      </rPr>
      <t xml:space="preserve">Päiväkotien määrä </t>
    </r>
    <r>
      <rPr>
        <sz val="11"/>
        <color theme="1"/>
        <rFont val="Calibri"/>
        <family val="2"/>
        <scheme val="minor"/>
      </rPr>
      <t>| Ilmoita alueen päiväkotien määrä.</t>
    </r>
  </si>
  <si>
    <r>
      <rPr>
        <b/>
        <sz val="11"/>
        <color theme="1"/>
        <rFont val="Calibri"/>
        <family val="2"/>
        <scheme val="minor"/>
      </rPr>
      <t>Varhaiskasvatuksen piirissä olevien lasten määrä</t>
    </r>
    <r>
      <rPr>
        <sz val="11"/>
        <color theme="1"/>
        <rFont val="Calibri"/>
        <family val="2"/>
        <scheme val="minor"/>
      </rPr>
      <t xml:space="preserve"> | Ilmoita alueen päivähoidon piirissä olevien lasten määrä.</t>
    </r>
  </si>
  <si>
    <t>Yhteenvetosivu kokoaa toimintatiedot lomakkeeseen täyttämistäsi tiedoista yhteenvedon suhteessa taulukon eri muuttujiin. Älä täytä itse tietoja yhteenvetosivuun. Sivulla on valmiiksi kaavat, jotka poimivat tiedot automaattisesti täyttämistäsi riveiltä. Voit poimia sieltä yhteenvetolukuja käyttöösi. Taulukko on suojattu. Mikäli osaat käyttää hyvin Exceliä ja haluat muokata taulukkoa omiin tarpeisiisi, poista suojaus tarkista välilehdeltä.</t>
  </si>
  <si>
    <t>Taulukkopohjassa on vuodesta 2017 alkaen vain yksi yhteenvetovälilehti. Suomen lastenkulttuurikeskusten liittoon toimitetaan välilehdeltä luvut sähköisellä kyselyllä 31.1. mennessä.  YHTEENVETO koko toiminta -välilehti toimitetaan ministeriöön raportoinnin yhteydessä 30.4. PDF-tiedostoksi muutettuna.</t>
  </si>
  <si>
    <r>
      <rPr>
        <b/>
        <sz val="11"/>
        <color theme="1"/>
        <rFont val="Calibri"/>
        <family val="2"/>
        <scheme val="minor"/>
      </rPr>
      <t>Tapahtumien määrä (lkm)</t>
    </r>
    <r>
      <rPr>
        <sz val="11"/>
        <color theme="1"/>
        <rFont val="Calibri"/>
        <family val="2"/>
        <scheme val="minor"/>
      </rPr>
      <t xml:space="preserve"> | Laskee yhteensä tapahtumien määrän.</t>
    </r>
  </si>
  <si>
    <r>
      <rPr>
        <b/>
        <sz val="11"/>
        <color theme="1"/>
        <rFont val="Calibri"/>
        <family val="2"/>
        <scheme val="minor"/>
      </rPr>
      <t>Prosenttia (%) lkm:stä</t>
    </r>
    <r>
      <rPr>
        <sz val="11"/>
        <color theme="1"/>
        <rFont val="Calibri"/>
        <family val="2"/>
        <scheme val="minor"/>
      </rPr>
      <t xml:space="preserve"> | Laskee kuinka monta prosenttia nimetyn sisällön tapahtumat ovat kokonaistapahtumien määrästä.</t>
    </r>
  </si>
  <si>
    <r>
      <rPr>
        <b/>
        <sz val="11"/>
        <color theme="1"/>
        <rFont val="Calibri"/>
        <family val="2"/>
        <scheme val="minor"/>
      </rPr>
      <t>Kesto (min) / tapaaminen KA</t>
    </r>
    <r>
      <rPr>
        <sz val="11"/>
        <color theme="1"/>
        <rFont val="Calibri"/>
        <family val="2"/>
        <scheme val="minor"/>
      </rPr>
      <t xml:space="preserve"> | Laskee keskiarvon paljonko kesto/tapaaminen on ollut.</t>
    </r>
  </si>
  <si>
    <r>
      <rPr>
        <b/>
        <sz val="11"/>
        <color theme="1"/>
        <rFont val="Calibri"/>
        <family val="2"/>
        <scheme val="minor"/>
      </rPr>
      <t>Kokonaiskesto (h)</t>
    </r>
    <r>
      <rPr>
        <sz val="11"/>
        <color theme="1"/>
        <rFont val="Calibri"/>
        <family val="2"/>
        <scheme val="minor"/>
      </rPr>
      <t xml:space="preserve"> | Ilmoittaa kokonaiskeston tunteina</t>
    </r>
  </si>
  <si>
    <r>
      <rPr>
        <b/>
        <sz val="11"/>
        <color theme="1"/>
        <rFont val="Calibri"/>
        <family val="2"/>
        <scheme val="minor"/>
      </rPr>
      <t xml:space="preserve">Tapaamiskerrat (lkm) </t>
    </r>
    <r>
      <rPr>
        <sz val="11"/>
        <color theme="1"/>
        <rFont val="Calibri"/>
        <family val="2"/>
        <scheme val="minor"/>
      </rPr>
      <t>| Laskee tapaamiskerrat suhteessa muuttujaan. HUOM! Tämä lukumäärä on tulkinnanvarainen riippuen siitä oletko täyttänyt taulukon riville useita tapahtumia vai vain yhden kerrallaan. Vuoden 2017 tilastoon tämä epäkohta korjataan.</t>
    </r>
  </si>
  <si>
    <r>
      <rPr>
        <b/>
        <sz val="11"/>
        <color theme="1"/>
        <rFont val="Calibri"/>
        <family val="2"/>
        <scheme val="minor"/>
      </rPr>
      <t xml:space="preserve">Kävijämäärä a) lapset </t>
    </r>
    <r>
      <rPr>
        <sz val="11"/>
        <color theme="1"/>
        <rFont val="Calibri"/>
        <family val="2"/>
        <scheme val="minor"/>
      </rPr>
      <t>| Laskee lasten määrän suhteessa muuttujaan.</t>
    </r>
  </si>
  <si>
    <r>
      <rPr>
        <b/>
        <sz val="11"/>
        <color theme="1"/>
        <rFont val="Calibri"/>
        <family val="2"/>
        <scheme val="minor"/>
      </rPr>
      <t xml:space="preserve">Kävijämäärä b) aikuiset </t>
    </r>
    <r>
      <rPr>
        <sz val="11"/>
        <color theme="1"/>
        <rFont val="Calibri"/>
        <family val="2"/>
        <scheme val="minor"/>
      </rPr>
      <t>| Laskee aikuisten määrän suhteessa muuttujaan.</t>
    </r>
  </si>
  <si>
    <r>
      <rPr>
        <b/>
        <sz val="11"/>
        <color theme="1"/>
        <rFont val="Calibri"/>
        <family val="2"/>
        <scheme val="minor"/>
      </rPr>
      <t>Kokonaiskävijämäärä</t>
    </r>
    <r>
      <rPr>
        <sz val="11"/>
        <color theme="1"/>
        <rFont val="Calibri"/>
        <family val="2"/>
        <scheme val="minor"/>
      </rPr>
      <t xml:space="preserve"> | Laskee kokonaiskävijämäärän suhteessa muuttujaan.</t>
    </r>
  </si>
  <si>
    <r>
      <rPr>
        <b/>
        <sz val="11"/>
        <color theme="1"/>
        <rFont val="Calibri"/>
        <family val="2"/>
        <scheme val="minor"/>
      </rPr>
      <t>KA kokonaiskävijämäärä (lkm)</t>
    </r>
    <r>
      <rPr>
        <sz val="11"/>
        <color theme="1"/>
        <rFont val="Calibri"/>
        <family val="2"/>
        <scheme val="minor"/>
      </rPr>
      <t xml:space="preserve"> | Laskee keskiarvon kokonaiskävijämäärästä/tapahtuma.</t>
    </r>
  </si>
  <si>
    <r>
      <rPr>
        <b/>
        <sz val="11"/>
        <color theme="1"/>
        <rFont val="Calibri"/>
        <family val="2"/>
        <scheme val="minor"/>
      </rPr>
      <t>Asiakaskontaktit (lkm)</t>
    </r>
    <r>
      <rPr>
        <sz val="11"/>
        <color theme="1"/>
        <rFont val="Calibri"/>
        <family val="2"/>
        <scheme val="minor"/>
      </rPr>
      <t xml:space="preserve"> | Laskee asiakaskontaktit suhteessa muuttujaan.</t>
    </r>
  </si>
  <si>
    <r>
      <rPr>
        <b/>
        <sz val="11"/>
        <color theme="1"/>
        <rFont val="Calibri"/>
        <family val="2"/>
        <scheme val="minor"/>
      </rPr>
      <t xml:space="preserve">Asiakaskontaktit (%) </t>
    </r>
    <r>
      <rPr>
        <sz val="11"/>
        <color theme="1"/>
        <rFont val="Calibri"/>
        <family val="2"/>
        <scheme val="minor"/>
      </rPr>
      <t>| Laskee kuinka monta prosenttia nimetyn muuttujan asiakaskontaktit ovat suhteessa koko toiminnan asiakaskontakteihin.</t>
    </r>
  </si>
  <si>
    <t>Kun saat toimintatietosi täytettyä valmiiksi, poista ylimääräiset rivit. Seuraa Vuosikello-välilehdeltä raportointiaikataulua.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</si>
</sst>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4" x14ac:knownFonts="1">
    <font>
      <sz val="11"/>
      <color theme="1"/>
      <name val="Calibri"/>
      <family val="2"/>
      <scheme val="minor"/>
    </font>
    <font>
      <b/>
      <sz val="11"/>
      <color theme="1"/>
      <name val="Calibri"/>
      <family val="2"/>
      <scheme val="minor"/>
    </font>
    <font>
      <sz val="7"/>
      <color theme="1"/>
      <name val="Times New Roman"/>
      <family val="1"/>
    </font>
    <font>
      <sz val="9"/>
      <color indexed="81"/>
      <name val="Tahoma"/>
      <family val="2"/>
    </font>
    <font>
      <b/>
      <sz val="9"/>
      <color indexed="81"/>
      <name val="Tahoma"/>
      <family val="2"/>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1"/>
      <color theme="0" tint="-0.34998626667073579"/>
      <name val="Calibri"/>
      <family val="2"/>
      <scheme val="minor"/>
    </font>
    <font>
      <sz val="11"/>
      <color theme="0" tint="-0.34998626667073579"/>
      <name val="Calibri"/>
      <family val="2"/>
      <scheme val="minor"/>
    </font>
    <font>
      <sz val="7"/>
      <color theme="0" tint="-0.34998626667073579"/>
      <name val="Times New Roman"/>
      <family val="1"/>
    </font>
    <font>
      <sz val="12"/>
      <name val="Calibri"/>
      <family val="2"/>
      <scheme val="minor"/>
    </font>
    <font>
      <sz val="10"/>
      <color theme="1"/>
      <name val="Calibri"/>
      <family val="2"/>
      <scheme val="minor"/>
    </font>
    <font>
      <b/>
      <sz val="10"/>
      <color rgb="FFFFFFFF"/>
      <name val="Calibri"/>
      <family val="2"/>
      <scheme val="minor"/>
    </font>
    <font>
      <sz val="11"/>
      <color theme="1"/>
      <name val="Calibri"/>
      <family val="2"/>
      <scheme val="minor"/>
    </font>
    <font>
      <b/>
      <sz val="10"/>
      <color theme="1"/>
      <name val="Calibri"/>
      <family val="2"/>
      <scheme val="minor"/>
    </font>
    <font>
      <sz val="10"/>
      <name val="Calibri"/>
      <family val="2"/>
    </font>
    <font>
      <b/>
      <sz val="10"/>
      <name val="Calibri"/>
      <family val="2"/>
    </font>
    <font>
      <sz val="10"/>
      <name val="Calibri"/>
      <family val="2"/>
      <scheme val="minor"/>
    </font>
    <font>
      <sz val="10"/>
      <color rgb="FFFF0000"/>
      <name val="Calibri"/>
      <family val="2"/>
      <scheme val="minor"/>
    </font>
    <font>
      <b/>
      <sz val="10"/>
      <name val="Calibri"/>
      <family val="2"/>
      <scheme val="minor"/>
    </font>
    <font>
      <sz val="12"/>
      <color theme="0"/>
      <name val="Calibri"/>
      <family val="2"/>
      <scheme val="minor"/>
    </font>
    <font>
      <sz val="12"/>
      <color theme="0" tint="-0.34998626667073579"/>
      <name val="Calibri"/>
      <family val="2"/>
      <scheme val="minor"/>
    </font>
    <font>
      <sz val="11"/>
      <color theme="0" tint="-0.249977111117893"/>
      <name val="Calibri"/>
      <family val="2"/>
      <scheme val="minor"/>
    </font>
    <font>
      <sz val="12"/>
      <color theme="0" tint="-0.249977111117893"/>
      <name val="Calibri"/>
      <family val="2"/>
      <scheme val="minor"/>
    </font>
    <font>
      <u/>
      <sz val="10"/>
      <name val="Calibri"/>
      <family val="2"/>
      <scheme val="minor"/>
    </font>
    <font>
      <b/>
      <u/>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
      <name val="Calibri"/>
      <family val="2"/>
      <scheme val="minor"/>
    </font>
    <font>
      <b/>
      <u/>
      <sz val="14"/>
      <color theme="1"/>
      <name val="Calibri"/>
      <family val="2"/>
      <scheme val="minor"/>
    </font>
    <font>
      <u/>
      <sz val="14"/>
      <color theme="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1"/>
        <bgColor theme="1"/>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bgColor indexed="64"/>
      </patternFill>
    </fill>
    <fill>
      <patternFill patternType="solid">
        <fgColor theme="9"/>
        <bgColor indexed="64"/>
      </patternFill>
    </fill>
    <fill>
      <patternFill patternType="solid">
        <fgColor theme="9" tint="-0.249977111117893"/>
        <bgColor indexed="64"/>
      </patternFill>
    </fill>
    <fill>
      <patternFill patternType="solid">
        <fgColor rgb="FF224F8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9" fontId="15" fillId="0" borderId="0" applyFont="0" applyFill="0" applyBorder="0" applyAlignment="0" applyProtection="0"/>
  </cellStyleXfs>
  <cellXfs count="174">
    <xf numFmtId="0" fontId="0" fillId="0" borderId="0" xfId="0"/>
    <xf numFmtId="0" fontId="0" fillId="0" borderId="7" xfId="0" applyBorder="1" applyAlignment="1">
      <alignment vertical="top" wrapText="1"/>
    </xf>
    <xf numFmtId="0" fontId="1" fillId="0" borderId="0" xfId="0" applyFont="1" applyBorder="1" applyAlignment="1">
      <alignment vertical="top" wrapText="1"/>
    </xf>
    <xf numFmtId="0" fontId="0" fillId="0" borderId="0" xfId="0" applyBorder="1"/>
    <xf numFmtId="0" fontId="5" fillId="0" borderId="0" xfId="0" applyFont="1" applyBorder="1" applyAlignment="1">
      <alignment vertical="top" wrapText="1"/>
    </xf>
    <xf numFmtId="0" fontId="0" fillId="0" borderId="12" xfId="0" applyBorder="1" applyAlignment="1">
      <alignment vertical="top" wrapText="1"/>
    </xf>
    <xf numFmtId="0" fontId="1" fillId="0" borderId="9" xfId="0" applyFont="1" applyBorder="1" applyAlignment="1">
      <alignment vertical="top" wrapText="1"/>
    </xf>
    <xf numFmtId="0" fontId="1" fillId="0" borderId="8" xfId="0" applyFont="1" applyBorder="1" applyAlignment="1">
      <alignment vertical="top" wrapText="1"/>
    </xf>
    <xf numFmtId="0" fontId="0" fillId="0" borderId="8" xfId="0" applyBorder="1" applyAlignment="1">
      <alignment vertical="top" wrapText="1"/>
    </xf>
    <xf numFmtId="0" fontId="1" fillId="2" borderId="8" xfId="0" applyFont="1" applyFill="1" applyBorder="1" applyAlignment="1">
      <alignment vertical="top" wrapText="1"/>
    </xf>
    <xf numFmtId="0" fontId="0" fillId="2" borderId="8" xfId="0" applyFill="1" applyBorder="1" applyAlignment="1">
      <alignment vertical="top" wrapText="1"/>
    </xf>
    <xf numFmtId="0" fontId="0" fillId="2" borderId="4" xfId="0" applyFill="1" applyBorder="1" applyAlignment="1">
      <alignment vertical="top" wrapText="1"/>
    </xf>
    <xf numFmtId="0" fontId="0" fillId="2" borderId="10" xfId="0" applyFill="1" applyBorder="1" applyAlignment="1">
      <alignment vertical="top" wrapText="1"/>
    </xf>
    <xf numFmtId="0" fontId="0" fillId="2" borderId="5" xfId="0" applyFill="1" applyBorder="1" applyAlignment="1">
      <alignmen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1" xfId="0" applyFill="1"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9" xfId="0" applyBorder="1" applyAlignment="1">
      <alignment horizontal="left" vertical="top" wrapText="1"/>
    </xf>
    <xf numFmtId="0" fontId="0" fillId="2" borderId="14" xfId="0" applyFill="1" applyBorder="1"/>
    <xf numFmtId="0" fontId="0" fillId="0" borderId="8" xfId="0" applyBorder="1" applyAlignment="1">
      <alignment horizontal="left" vertical="top" wrapText="1"/>
    </xf>
    <xf numFmtId="0" fontId="0" fillId="2" borderId="9" xfId="0" applyFill="1" applyBorder="1" applyAlignment="1">
      <alignment vertical="top" wrapText="1"/>
    </xf>
    <xf numFmtId="0" fontId="0" fillId="2" borderId="13" xfId="0" applyFill="1" applyBorder="1" applyAlignment="1">
      <alignment vertical="top" wrapText="1"/>
    </xf>
    <xf numFmtId="0" fontId="0" fillId="2" borderId="15" xfId="0" applyFill="1" applyBorder="1" applyAlignment="1">
      <alignment vertical="top" wrapText="1"/>
    </xf>
    <xf numFmtId="0" fontId="0" fillId="2" borderId="16" xfId="0" applyFill="1" applyBorder="1"/>
    <xf numFmtId="0" fontId="0" fillId="2" borderId="15" xfId="0" applyFill="1" applyBorder="1"/>
    <xf numFmtId="0" fontId="1" fillId="0" borderId="3" xfId="0" applyFont="1" applyBorder="1" applyAlignment="1">
      <alignment vertical="top" wrapText="1"/>
    </xf>
    <xf numFmtId="49" fontId="14" fillId="10" borderId="17" xfId="0" applyNumberFormat="1" applyFont="1" applyFill="1" applyBorder="1" applyAlignment="1">
      <alignment horizontal="center" vertical="top" wrapText="1"/>
    </xf>
    <xf numFmtId="49" fontId="13" fillId="0" borderId="0" xfId="0" applyNumberFormat="1" applyFont="1"/>
    <xf numFmtId="49" fontId="0" fillId="0" borderId="0" xfId="0" applyNumberFormat="1"/>
    <xf numFmtId="0" fontId="0" fillId="0" borderId="0" xfId="0" applyFont="1"/>
    <xf numFmtId="0" fontId="0" fillId="0" borderId="9" xfId="0" applyFont="1" applyBorder="1" applyAlignment="1">
      <alignment vertical="center"/>
    </xf>
    <xf numFmtId="0" fontId="0" fillId="0" borderId="8" xfId="0" applyFont="1" applyBorder="1" applyAlignment="1">
      <alignment vertical="center"/>
    </xf>
    <xf numFmtId="0" fontId="0" fillId="0" borderId="13" xfId="0" applyFont="1" applyBorder="1" applyAlignment="1">
      <alignment vertical="center"/>
    </xf>
    <xf numFmtId="0" fontId="0" fillId="2" borderId="9" xfId="0" applyFont="1" applyFill="1" applyBorder="1" applyAlignment="1">
      <alignment vertical="top" wrapText="1"/>
    </xf>
    <xf numFmtId="0" fontId="0" fillId="2" borderId="8" xfId="0" applyFont="1" applyFill="1" applyBorder="1" applyAlignment="1">
      <alignment vertical="top" wrapText="1"/>
    </xf>
    <xf numFmtId="0" fontId="0" fillId="2" borderId="13" xfId="0" applyFont="1" applyFill="1" applyBorder="1" applyAlignment="1">
      <alignment vertical="top" wrapText="1"/>
    </xf>
    <xf numFmtId="0" fontId="0" fillId="0" borderId="0" xfId="0" applyFill="1" applyBorder="1" applyAlignment="1">
      <alignment vertical="top" wrapText="1"/>
    </xf>
    <xf numFmtId="0" fontId="0" fillId="0" borderId="0" xfId="0" applyFill="1"/>
    <xf numFmtId="0" fontId="0" fillId="0" borderId="8"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6" fillId="0" borderId="8" xfId="0" applyFont="1" applyFill="1" applyBorder="1" applyAlignment="1">
      <alignment vertical="top" wrapText="1"/>
    </xf>
    <xf numFmtId="0" fontId="0" fillId="0" borderId="8" xfId="0" applyFill="1" applyBorder="1"/>
    <xf numFmtId="0" fontId="0" fillId="0" borderId="4" xfId="0" applyFill="1" applyBorder="1"/>
    <xf numFmtId="0" fontId="1" fillId="0" borderId="9" xfId="0" applyFont="1" applyFill="1" applyBorder="1" applyAlignment="1">
      <alignment vertical="top" wrapText="1"/>
    </xf>
    <xf numFmtId="0" fontId="1" fillId="0" borderId="4" xfId="0" applyFont="1" applyFill="1" applyBorder="1" applyAlignment="1">
      <alignment vertical="top" wrapText="1"/>
    </xf>
    <xf numFmtId="0" fontId="0" fillId="0" borderId="9" xfId="0" applyFill="1" applyBorder="1" applyAlignment="1">
      <alignment horizontal="left" vertical="top" wrapText="1"/>
    </xf>
    <xf numFmtId="0" fontId="0" fillId="0" borderId="8" xfId="0" applyFill="1" applyBorder="1" applyAlignment="1">
      <alignment horizontal="left" vertical="top" wrapText="1"/>
    </xf>
    <xf numFmtId="0" fontId="0" fillId="0" borderId="5" xfId="0" applyFill="1" applyBorder="1" applyAlignment="1">
      <alignment vertical="top" wrapText="1"/>
    </xf>
    <xf numFmtId="0" fontId="0" fillId="0" borderId="4" xfId="0" applyFill="1" applyBorder="1" applyAlignment="1">
      <alignment horizontal="left" vertical="top" wrapText="1"/>
    </xf>
    <xf numFmtId="0" fontId="0" fillId="2" borderId="8" xfId="0" applyFill="1" applyBorder="1" applyAlignment="1">
      <alignment horizontal="left" vertical="top" wrapText="1"/>
    </xf>
    <xf numFmtId="0" fontId="0" fillId="13" borderId="5" xfId="0" applyFill="1" applyBorder="1"/>
    <xf numFmtId="49" fontId="17" fillId="11" borderId="17" xfId="0" applyNumberFormat="1" applyFont="1" applyFill="1" applyBorder="1" applyAlignment="1">
      <alignment wrapText="1"/>
    </xf>
    <xf numFmtId="49" fontId="16" fillId="12" borderId="17" xfId="0" applyNumberFormat="1" applyFont="1" applyFill="1" applyBorder="1" applyAlignment="1">
      <alignment wrapText="1"/>
    </xf>
    <xf numFmtId="49" fontId="21" fillId="11" borderId="17" xfId="0" applyNumberFormat="1" applyFont="1" applyFill="1" applyBorder="1" applyAlignment="1">
      <alignment wrapText="1"/>
    </xf>
    <xf numFmtId="0" fontId="0" fillId="0" borderId="0" xfId="0" applyAlignment="1" applyProtection="1">
      <alignment horizontal="right"/>
      <protection locked="0"/>
    </xf>
    <xf numFmtId="9" fontId="0" fillId="5" borderId="17" xfId="1" applyFont="1" applyFill="1" applyBorder="1" applyProtection="1"/>
    <xf numFmtId="1" fontId="6" fillId="5" borderId="23" xfId="0" applyNumberFormat="1" applyFont="1" applyFill="1" applyBorder="1" applyAlignment="1" applyProtection="1">
      <alignment vertical="top" wrapText="1"/>
    </xf>
    <xf numFmtId="0" fontId="0" fillId="0" borderId="0" xfId="0" applyAlignment="1" applyProtection="1">
      <alignment horizontal="right" vertical="center"/>
    </xf>
    <xf numFmtId="0" fontId="0" fillId="0" borderId="0" xfId="0" applyAlignment="1" applyProtection="1">
      <alignment horizontal="right"/>
    </xf>
    <xf numFmtId="0" fontId="1" fillId="0" borderId="0" xfId="0" applyFont="1" applyAlignment="1" applyProtection="1">
      <alignment horizontal="right"/>
    </xf>
    <xf numFmtId="0" fontId="8" fillId="0" borderId="0" xfId="0" applyFont="1" applyAlignment="1" applyProtection="1">
      <alignment horizontal="right"/>
    </xf>
    <xf numFmtId="0" fontId="0" fillId="0" borderId="0" xfId="0" applyFont="1" applyAlignment="1" applyProtection="1">
      <alignment horizontal="right" vertical="center"/>
    </xf>
    <xf numFmtId="0" fontId="5" fillId="0" borderId="0" xfId="0" applyFont="1" applyAlignment="1" applyProtection="1">
      <alignment horizontal="right" vertical="center"/>
    </xf>
    <xf numFmtId="0" fontId="0" fillId="0" borderId="0" xfId="0" applyFont="1" applyAlignment="1" applyProtection="1">
      <alignment horizontal="right"/>
    </xf>
    <xf numFmtId="0" fontId="12" fillId="0" borderId="0" xfId="0" applyFont="1" applyAlignment="1" applyProtection="1">
      <alignment horizontal="right" vertical="center"/>
    </xf>
    <xf numFmtId="0" fontId="22" fillId="0" borderId="0" xfId="0" applyFont="1" applyAlignment="1" applyProtection="1">
      <alignment horizontal="right" vertical="center"/>
    </xf>
    <xf numFmtId="0" fontId="12" fillId="0" borderId="0" xfId="0" applyFont="1" applyAlignment="1" applyProtection="1">
      <alignment horizontal="right"/>
    </xf>
    <xf numFmtId="1" fontId="7" fillId="14" borderId="18" xfId="0" applyNumberFormat="1" applyFont="1" applyFill="1" applyBorder="1" applyAlignment="1" applyProtection="1">
      <alignment vertical="top" wrapText="1"/>
    </xf>
    <xf numFmtId="1" fontId="7" fillId="8" borderId="18" xfId="0" applyNumberFormat="1" applyFont="1" applyFill="1" applyBorder="1" applyAlignment="1" applyProtection="1">
      <alignment vertical="top" wrapText="1"/>
    </xf>
    <xf numFmtId="0" fontId="7" fillId="8" borderId="18" xfId="0" applyFont="1" applyFill="1" applyBorder="1" applyAlignment="1" applyProtection="1">
      <alignment vertical="top" wrapText="1"/>
    </xf>
    <xf numFmtId="0" fontId="7" fillId="9" borderId="21" xfId="0" applyFont="1" applyFill="1" applyBorder="1" applyAlignment="1" applyProtection="1">
      <alignment vertical="top" wrapText="1"/>
    </xf>
    <xf numFmtId="0" fontId="7" fillId="9" borderId="19" xfId="0" applyFont="1" applyFill="1" applyBorder="1" applyAlignment="1" applyProtection="1">
      <alignment vertical="top" wrapText="1"/>
    </xf>
    <xf numFmtId="0" fontId="7" fillId="3" borderId="18" xfId="0" applyFont="1" applyFill="1" applyBorder="1" applyAlignment="1" applyProtection="1">
      <alignment vertical="top" wrapText="1"/>
    </xf>
    <xf numFmtId="0" fontId="0" fillId="0" borderId="0" xfId="0" applyProtection="1"/>
    <xf numFmtId="9" fontId="6" fillId="5" borderId="23" xfId="1" applyFont="1" applyFill="1" applyBorder="1" applyAlignment="1" applyProtection="1">
      <alignment vertical="top" wrapText="1"/>
    </xf>
    <xf numFmtId="0" fontId="6" fillId="5" borderId="24" xfId="0" applyFont="1" applyFill="1" applyBorder="1" applyAlignment="1" applyProtection="1">
      <alignment vertical="top" wrapText="1"/>
    </xf>
    <xf numFmtId="1" fontId="6" fillId="5" borderId="24" xfId="0" applyNumberFormat="1" applyFont="1" applyFill="1" applyBorder="1" applyAlignment="1" applyProtection="1">
      <alignment vertical="top" wrapText="1"/>
    </xf>
    <xf numFmtId="9" fontId="6" fillId="5" borderId="25" xfId="1" applyFont="1" applyFill="1" applyBorder="1" applyAlignment="1" applyProtection="1">
      <alignment vertical="top" wrapText="1"/>
    </xf>
    <xf numFmtId="0" fontId="9" fillId="0" borderId="0" xfId="0" applyFont="1" applyAlignment="1" applyProtection="1">
      <alignment horizontal="left"/>
    </xf>
    <xf numFmtId="0" fontId="1" fillId="0" borderId="0" xfId="0" applyFont="1" applyAlignment="1" applyProtection="1">
      <alignment horizontal="left" vertical="center"/>
    </xf>
    <xf numFmtId="0" fontId="10" fillId="0" borderId="0" xfId="0" applyFont="1" applyAlignment="1" applyProtection="1">
      <alignment horizontal="left"/>
    </xf>
    <xf numFmtId="0" fontId="0" fillId="5" borderId="17" xfId="0" applyFill="1" applyBorder="1" applyProtection="1"/>
    <xf numFmtId="1" fontId="0" fillId="5" borderId="17" xfId="0" applyNumberFormat="1" applyFill="1" applyBorder="1" applyProtection="1"/>
    <xf numFmtId="2" fontId="0" fillId="5" borderId="17" xfId="0" applyNumberFormat="1" applyFill="1" applyBorder="1" applyProtection="1"/>
    <xf numFmtId="0" fontId="10" fillId="0" borderId="0" xfId="0" applyFont="1" applyAlignment="1" applyProtection="1">
      <alignment horizontal="left" vertical="center"/>
    </xf>
    <xf numFmtId="0" fontId="1" fillId="0" borderId="0" xfId="0" applyFont="1" applyAlignment="1" applyProtection="1">
      <alignment horizontal="left" vertical="top"/>
    </xf>
    <xf numFmtId="9" fontId="10" fillId="0" borderId="0" xfId="0" applyNumberFormat="1" applyFont="1" applyAlignment="1" applyProtection="1">
      <alignment horizontal="left"/>
    </xf>
    <xf numFmtId="0" fontId="1" fillId="0" borderId="0" xfId="0" applyFont="1" applyAlignment="1" applyProtection="1">
      <alignment horizontal="left"/>
    </xf>
    <xf numFmtId="0" fontId="1" fillId="0" borderId="0" xfId="0" applyFont="1" applyProtection="1"/>
    <xf numFmtId="0" fontId="23" fillId="0" borderId="0" xfId="0" applyFont="1" applyAlignment="1" applyProtection="1">
      <alignment horizontal="left" vertical="center"/>
    </xf>
    <xf numFmtId="0" fontId="23" fillId="0" borderId="0" xfId="0" applyFont="1" applyFill="1" applyAlignment="1" applyProtection="1">
      <alignment horizontal="left"/>
    </xf>
    <xf numFmtId="0" fontId="0" fillId="0" borderId="0" xfId="0" applyBorder="1" applyAlignment="1" applyProtection="1">
      <alignment horizontal="right"/>
    </xf>
    <xf numFmtId="1" fontId="0" fillId="5" borderId="0" xfId="0" applyNumberFormat="1" applyFill="1" applyAlignment="1" applyProtection="1">
      <alignment horizontal="right"/>
    </xf>
    <xf numFmtId="0" fontId="0" fillId="5" borderId="0" xfId="0" applyFill="1" applyAlignment="1" applyProtection="1">
      <alignment horizontal="right"/>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0" fillId="0" borderId="0" xfId="0" applyBorder="1" applyProtection="1">
      <protection locked="0"/>
    </xf>
    <xf numFmtId="0" fontId="7" fillId="7" borderId="0" xfId="0" applyFont="1" applyFill="1" applyBorder="1" applyAlignment="1" applyProtection="1">
      <alignment horizontal="left" vertical="top" wrapText="1"/>
      <protection locked="0"/>
    </xf>
    <xf numFmtId="0" fontId="7" fillId="7" borderId="0" xfId="0" applyFont="1" applyFill="1" applyBorder="1" applyAlignment="1" applyProtection="1">
      <alignment vertical="top" wrapText="1"/>
      <protection locked="0"/>
    </xf>
    <xf numFmtId="1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Border="1" applyAlignment="1" applyProtection="1">
      <alignment horizontal="right"/>
      <protection locked="0"/>
    </xf>
    <xf numFmtId="0" fontId="0" fillId="0" borderId="0" xfId="0" applyBorder="1" applyAlignment="1" applyProtection="1">
      <alignment horizontal="left" vertical="top" wrapText="1"/>
      <protection locked="0"/>
    </xf>
    <xf numFmtId="164" fontId="1" fillId="0" borderId="0" xfId="0" applyNumberFormat="1" applyFont="1" applyFill="1" applyAlignment="1" applyProtection="1">
      <alignment horizontal="right"/>
      <protection locked="0"/>
    </xf>
    <xf numFmtId="0" fontId="1" fillId="4" borderId="6" xfId="0" applyFont="1" applyFill="1" applyBorder="1" applyAlignment="1" applyProtection="1">
      <alignment vertical="top" wrapText="1"/>
    </xf>
    <xf numFmtId="0" fontId="7" fillId="4" borderId="6" xfId="0" applyFont="1" applyFill="1" applyBorder="1" applyAlignment="1" applyProtection="1">
      <alignment vertical="top" wrapText="1"/>
    </xf>
    <xf numFmtId="0" fontId="1" fillId="0" borderId="6" xfId="0" applyFont="1" applyBorder="1" applyAlignment="1" applyProtection="1">
      <alignment vertical="top" wrapText="1"/>
    </xf>
    <xf numFmtId="0" fontId="1" fillId="0" borderId="7" xfId="0" applyFont="1" applyBorder="1" applyAlignment="1" applyProtection="1">
      <alignment vertical="top" wrapText="1"/>
    </xf>
    <xf numFmtId="0" fontId="1" fillId="4" borderId="12" xfId="0" applyFont="1" applyFill="1" applyBorder="1" applyAlignment="1" applyProtection="1">
      <alignment horizontal="left" wrapText="1"/>
    </xf>
    <xf numFmtId="0" fontId="1" fillId="4" borderId="0" xfId="0" applyFont="1" applyFill="1" applyBorder="1" applyAlignment="1" applyProtection="1">
      <alignment vertical="top" wrapText="1"/>
    </xf>
    <xf numFmtId="0" fontId="1" fillId="4" borderId="7" xfId="0" applyFont="1" applyFill="1" applyBorder="1" applyAlignment="1" applyProtection="1">
      <alignment vertical="top" wrapText="1"/>
    </xf>
    <xf numFmtId="0" fontId="0" fillId="5" borderId="0" xfId="0" applyFill="1" applyBorder="1" applyAlignment="1" applyProtection="1">
      <alignment vertical="top" wrapText="1"/>
    </xf>
    <xf numFmtId="0" fontId="0" fillId="5" borderId="0" xfId="0" applyFill="1" applyProtection="1"/>
    <xf numFmtId="0" fontId="0" fillId="5" borderId="0" xfId="0" applyFont="1" applyFill="1" applyBorder="1" applyProtection="1"/>
    <xf numFmtId="0" fontId="0" fillId="5" borderId="0" xfId="0" applyFont="1" applyFill="1" applyBorder="1" applyAlignment="1" applyProtection="1">
      <alignment vertical="top" wrapText="1"/>
    </xf>
    <xf numFmtId="0" fontId="0" fillId="5" borderId="0" xfId="0" applyNumberFormat="1" applyFill="1" applyProtection="1"/>
    <xf numFmtId="0" fontId="0" fillId="5" borderId="0" xfId="0" applyFill="1" applyBorder="1" applyProtection="1"/>
    <xf numFmtId="0" fontId="6" fillId="0" borderId="0" xfId="0" applyFont="1" applyProtection="1"/>
    <xf numFmtId="49" fontId="12" fillId="0" borderId="0" xfId="0" applyNumberFormat="1" applyFont="1" applyAlignment="1" applyProtection="1">
      <alignment horizontal="right" vertical="center"/>
    </xf>
    <xf numFmtId="49" fontId="23" fillId="0" borderId="0" xfId="0" applyNumberFormat="1" applyFont="1" applyAlignment="1" applyProtection="1">
      <alignment horizontal="left" vertical="center"/>
    </xf>
    <xf numFmtId="0" fontId="5" fillId="0" borderId="0" xfId="0" applyFont="1" applyAlignment="1" applyProtection="1">
      <alignment horizontal="right"/>
    </xf>
    <xf numFmtId="0" fontId="10" fillId="0" borderId="0" xfId="0" applyFont="1" applyProtection="1"/>
    <xf numFmtId="2" fontId="6" fillId="5" borderId="24" xfId="0" applyNumberFormat="1" applyFont="1" applyFill="1" applyBorder="1" applyAlignment="1" applyProtection="1">
      <alignment vertical="top" wrapText="1"/>
    </xf>
    <xf numFmtId="0" fontId="6" fillId="5" borderId="25" xfId="0" applyFont="1" applyFill="1" applyBorder="1" applyAlignment="1" applyProtection="1">
      <alignment vertical="top" wrapText="1"/>
    </xf>
    <xf numFmtId="0" fontId="0" fillId="0" borderId="0" xfId="0" applyFill="1" applyBorder="1" applyProtection="1"/>
    <xf numFmtId="1" fontId="0" fillId="0" borderId="0" xfId="0" applyNumberFormat="1" applyFill="1" applyBorder="1" applyProtection="1"/>
    <xf numFmtId="9" fontId="0" fillId="0" borderId="0" xfId="1" applyFont="1" applyFill="1" applyBorder="1" applyProtection="1"/>
    <xf numFmtId="2" fontId="0" fillId="0" borderId="0" xfId="0" applyNumberFormat="1" applyFill="1" applyBorder="1" applyProtection="1"/>
    <xf numFmtId="0" fontId="7" fillId="0" borderId="0" xfId="0" applyFont="1" applyFill="1" applyBorder="1" applyAlignment="1" applyProtection="1">
      <alignment horizontal="left" vertical="top" wrapText="1"/>
      <protection locked="0"/>
    </xf>
    <xf numFmtId="0" fontId="1" fillId="0" borderId="0" xfId="0" applyFont="1" applyAlignment="1" applyProtection="1">
      <alignment horizontal="right" vertical="center" wrapText="1"/>
    </xf>
    <xf numFmtId="0" fontId="1" fillId="0" borderId="26" xfId="0" applyFont="1" applyBorder="1" applyAlignment="1" applyProtection="1">
      <alignment horizontal="left" vertical="top"/>
    </xf>
    <xf numFmtId="0" fontId="1" fillId="6" borderId="0" xfId="0" applyFont="1" applyFill="1" applyAlignment="1" applyProtection="1">
      <alignment horizontal="right"/>
    </xf>
    <xf numFmtId="0" fontId="1" fillId="6" borderId="0" xfId="0" applyFont="1" applyFill="1" applyBorder="1" applyAlignment="1" applyProtection="1">
      <alignment horizontal="right" vertical="top" wrapText="1"/>
    </xf>
    <xf numFmtId="0" fontId="0" fillId="6" borderId="0" xfId="0" applyFont="1" applyFill="1" applyAlignment="1" applyProtection="1">
      <alignment horizontal="right" vertical="top" wrapText="1"/>
    </xf>
    <xf numFmtId="0" fontId="0" fillId="0" borderId="0" xfId="0" applyFont="1" applyFill="1" applyAlignment="1" applyProtection="1">
      <alignment horizontal="right" vertical="top" wrapText="1"/>
    </xf>
    <xf numFmtId="9" fontId="6" fillId="0" borderId="0" xfId="1" applyFont="1" applyFill="1" applyBorder="1" applyAlignment="1" applyProtection="1">
      <alignment vertical="top"/>
    </xf>
    <xf numFmtId="0" fontId="24" fillId="0" borderId="0" xfId="0" applyFont="1" applyAlignment="1" applyProtection="1">
      <alignment horizontal="left" vertical="center"/>
    </xf>
    <xf numFmtId="0" fontId="25" fillId="0" borderId="0" xfId="0" applyFont="1" applyAlignment="1" applyProtection="1">
      <alignment horizontal="left" vertical="center"/>
    </xf>
    <xf numFmtId="49" fontId="25" fillId="0" borderId="0" xfId="0" applyNumberFormat="1" applyFont="1" applyAlignment="1" applyProtection="1">
      <alignment horizontal="left" vertical="center"/>
    </xf>
    <xf numFmtId="0" fontId="24" fillId="0" borderId="0" xfId="0" applyFont="1" applyAlignment="1" applyProtection="1">
      <alignment horizontal="left"/>
    </xf>
    <xf numFmtId="0" fontId="1" fillId="0" borderId="1"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1"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2" xfId="0" applyFont="1" applyBorder="1" applyAlignment="1">
      <alignment horizontal="left"/>
    </xf>
    <xf numFmtId="0" fontId="1" fillId="0" borderId="5" xfId="0" applyFont="1" applyBorder="1" applyAlignment="1">
      <alignment horizontal="left"/>
    </xf>
    <xf numFmtId="0" fontId="1" fillId="0" borderId="2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0" xfId="0"/>
    <xf numFmtId="49" fontId="19" fillId="11" borderId="17" xfId="0" applyNumberFormat="1" applyFont="1" applyFill="1" applyBorder="1" applyAlignment="1">
      <alignment wrapText="1"/>
    </xf>
    <xf numFmtId="49" fontId="13" fillId="12" borderId="17" xfId="0" applyNumberFormat="1" applyFont="1" applyFill="1" applyBorder="1" applyAlignment="1">
      <alignment wrapText="1"/>
    </xf>
    <xf numFmtId="49" fontId="20" fillId="12" borderId="17" xfId="0" applyNumberFormat="1" applyFont="1" applyFill="1" applyBorder="1" applyAlignment="1">
      <alignment wrapText="1"/>
    </xf>
    <xf numFmtId="49" fontId="13" fillId="11" borderId="0" xfId="0" applyNumberFormat="1" applyFont="1" applyFill="1"/>
    <xf numFmtId="49" fontId="19" fillId="12" borderId="17" xfId="0" applyNumberFormat="1" applyFont="1" applyFill="1" applyBorder="1" applyAlignment="1">
      <alignment wrapText="1"/>
    </xf>
    <xf numFmtId="0" fontId="1" fillId="6" borderId="0" xfId="0" applyFont="1" applyFill="1" applyAlignment="1" applyProtection="1">
      <alignment horizontal="right"/>
    </xf>
    <xf numFmtId="0" fontId="1" fillId="0" borderId="0" xfId="0" applyFont="1"/>
    <xf numFmtId="0" fontId="27" fillId="0" borderId="0" xfId="0" applyFont="1"/>
    <xf numFmtId="0" fontId="28" fillId="0" borderId="27" xfId="0" applyFont="1" applyBorder="1"/>
    <xf numFmtId="0" fontId="29" fillId="0" borderId="0" xfId="0" applyFont="1"/>
    <xf numFmtId="0" fontId="30" fillId="0" borderId="0" xfId="0" applyFont="1"/>
    <xf numFmtId="0" fontId="31" fillId="0" borderId="0" xfId="0" applyFont="1"/>
    <xf numFmtId="0" fontId="32" fillId="0" borderId="27" xfId="0" applyFont="1" applyBorder="1"/>
    <xf numFmtId="0" fontId="33" fillId="0" borderId="0" xfId="0" applyFont="1"/>
    <xf numFmtId="0" fontId="0" fillId="0" borderId="27" xfId="0" applyFont="1" applyBorder="1"/>
  </cellXfs>
  <cellStyles count="2">
    <cellStyle name="Normaali" xfId="0" builtinId="0"/>
    <cellStyle name="Prosenttia" xfId="1" builtinId="5"/>
  </cellStyles>
  <dxfs count="52">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right" vertical="bottom" textRotation="0" wrapText="0" indent="0" justifyLastLine="0" shrinkToFit="0" readingOrder="0"/>
      <protection locked="1"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font>
        <b/>
        <color theme="0"/>
      </font>
      <fill>
        <patternFill patternType="solid">
          <fgColor indexed="64"/>
          <bgColor theme="5"/>
        </patternFill>
      </fill>
      <alignment horizontal="left" vertical="top" textRotation="0" wrapText="1"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numFmt numFmtId="0" formatCode="General"/>
      <fill>
        <patternFill patternType="solid">
          <fgColor indexed="64"/>
          <bgColor theme="0" tint="-0.14999847407452621"/>
        </patternFill>
      </fill>
      <protection locked="1" hidden="0"/>
    </dxf>
    <dxf>
      <fill>
        <patternFill patternType="solid">
          <fgColor indexed="64"/>
          <bgColor theme="0" tint="-0.14999847407452621"/>
        </patternFill>
      </fill>
      <alignment horizontal="right" vertical="bottom" textRotation="0" wrapText="0" indent="0" justifyLastLine="0" shrinkToFit="0" readingOrder="0"/>
      <protection locked="1" hidden="0"/>
    </dxf>
    <dxf>
      <numFmt numFmtId="0" formatCode="General"/>
      <fill>
        <patternFill patternType="solid">
          <fgColor indexed="64"/>
          <bgColor theme="0" tint="-0.14999847407452621"/>
        </patternFill>
      </fill>
      <protection locked="1" hidden="0"/>
    </dxf>
    <dxf>
      <fill>
        <patternFill patternType="solid">
          <fgColor indexed="64"/>
          <bgColor theme="0" tint="-0.14999847407452621"/>
        </patternFill>
      </fill>
      <alignment horizontal="right" vertical="bottom" textRotation="0" wrapText="0" indent="0" justifyLastLine="0" shrinkToFit="0" readingOrder="0"/>
      <protection locked="1" hidden="0"/>
    </dxf>
    <dxf>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alignment horizontal="right" vertical="bottom" textRotation="0" indent="0" justifyLastLine="0" shrinkToFit="0" readingOrder="0"/>
      <protection locked="0" hidden="0"/>
    </dxf>
    <dxf>
      <fill>
        <patternFill patternType="solid">
          <fgColor indexed="64"/>
          <bgColor theme="0" tint="-0.14999847407452621"/>
        </patternFill>
      </fill>
      <alignment horizontal="right" vertical="bottom" textRotation="0" wrapText="0" indent="0" justifyLastLine="0" shrinkToFit="0" readingOrder="0"/>
      <protection locked="1" hidden="0"/>
    </dxf>
    <dxf>
      <protection locked="0" hidden="0"/>
    </dxf>
    <dxf>
      <numFmt numFmtId="1" formatCode="0"/>
      <fill>
        <patternFill patternType="solid">
          <fgColor indexed="64"/>
          <bgColor theme="0" tint="-0.14999847407452621"/>
        </patternFill>
      </fill>
      <alignment horizontal="right" vertical="bottom" textRotation="0" wrapText="0" indent="0" justifyLastLine="0" shrinkToFit="0" readingOrder="0"/>
      <protection locked="1" hidden="0"/>
    </dxf>
    <dxf>
      <numFmt numFmtId="0" formatCode="General"/>
      <fill>
        <patternFill patternType="solid">
          <fgColor indexed="64"/>
          <bgColor theme="0" tint="-0.14999847407452621"/>
        </patternFill>
      </fill>
      <alignment horizontal="general" vertical="top" textRotation="0" wrapText="1" indent="0" justifyLastLine="0" shrinkToFit="0" readingOrder="0"/>
      <protection locked="1" hidden="0"/>
    </dxf>
    <dxf>
      <numFmt numFmtId="1" formatCode="0"/>
      <fill>
        <patternFill patternType="solid">
          <fgColor indexed="64"/>
          <bgColor theme="0" tint="-0.14999847407452621"/>
        </patternFill>
      </fill>
      <alignment horizontal="right" vertical="bottom" textRotation="0" wrapText="0" indent="0" justifyLastLine="0" shrinkToFit="0" readingOrder="0"/>
      <protection locked="1" hidden="0"/>
    </dxf>
    <dxf>
      <protection locked="0" hidden="0"/>
    </dxf>
    <dxf>
      <alignment horizontal="right" vertical="bottom" textRotation="0" wrapText="0" indent="0" justifyLastLine="0" shrinkToFit="0" readingOrder="0"/>
      <protection locked="1" hidden="0"/>
    </dxf>
    <dxf>
      <protection locked="0" hidden="0"/>
    </dxf>
    <dxf>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top" textRotation="0" wrapText="1" indent="0" justifyLastLine="0" shrinkToFit="0" readingOrder="0"/>
      <protection locked="1" hidden="0"/>
    </dxf>
    <dxf>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top" textRotation="0" wrapText="1" indent="0" justifyLastLine="0" shrinkToFit="0" readingOrder="0"/>
      <protection locked="1" hidden="0"/>
    </dxf>
    <dxf>
      <alignment horizontal="left"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top" textRotation="0" wrapText="1" indent="0" justifyLastLine="0" shrinkToFit="0" readingOrder="0"/>
      <protection locked="1" hidden="0"/>
    </dxf>
    <dxf>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top" textRotation="0" wrapText="1" indent="0" justifyLastLine="0" shrinkToFit="0" readingOrder="0"/>
      <protection locked="1" hidden="0"/>
    </dxf>
    <dxf>
      <fill>
        <patternFill patternType="solid">
          <fgColor indexed="64"/>
          <bgColor theme="5"/>
        </patternFill>
      </fill>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top" textRotation="0" wrapText="1" indent="0" justifyLastLine="0" shrinkToFit="0" readingOrder="0"/>
      <protection locked="1"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top" textRotation="0" wrapText="1" indent="0" justifyLastLine="0" shrinkToFit="0" readingOrder="0"/>
      <border diagonalUp="0" diagonalDown="0" outline="0">
        <left/>
        <right/>
        <top/>
        <bottom/>
      </border>
      <protection locked="1" hidden="0"/>
    </dxf>
    <dxf>
      <font>
        <b/>
        <strike val="0"/>
        <outline val="0"/>
        <shadow val="0"/>
        <u val="none"/>
        <vertAlign val="baseline"/>
        <sz val="11"/>
        <color theme="0"/>
        <name val="Calibri"/>
        <scheme val="minor"/>
      </font>
      <fill>
        <patternFill patternType="solid">
          <fgColor indexed="64"/>
          <bgColor theme="1" tint="4.9989318521683403E-2"/>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right" vertical="bottom" textRotation="0" wrapText="0" indent="0" justifyLastLine="0" shrinkToFit="0" readingOrder="0"/>
      <protection locked="1" hidden="0"/>
    </dxf>
    <dxf>
      <font>
        <b/>
        <strike val="0"/>
        <outline val="0"/>
        <shadow val="0"/>
        <u val="none"/>
        <vertAlign val="baseline"/>
        <sz val="11"/>
        <color auto="1"/>
        <name val="Calibri"/>
        <scheme val="minor"/>
      </font>
      <fill>
        <patternFill patternType="solid">
          <fgColor indexed="64"/>
          <bgColor theme="5"/>
        </patternFill>
      </fill>
      <protection locked="0" hidden="0"/>
    </dxf>
    <dxf>
      <alignment horizontal="right" vertical="bottom" textRotation="0" wrapText="0" indent="0" justifyLastLine="0" shrinkToFit="0" readingOrder="0"/>
      <border diagonalUp="0" diagonalDown="0" outline="0">
        <left/>
        <right/>
        <top/>
        <bottom/>
      </border>
      <protection locked="1" hidden="0"/>
    </dxf>
    <dxf>
      <protection locked="0" hidden="0"/>
    </dxf>
    <dxf>
      <alignment horizontal="right" vertical="bottom" textRotation="0" wrapText="0" indent="0" justifyLastLine="0" shrinkToFit="0" readingOrder="0"/>
      <border diagonalUp="0" diagonalDown="0" outline="0">
        <left/>
        <right/>
        <top/>
        <bottom/>
      </border>
      <protection locked="1" hidden="0"/>
    </dxf>
    <dxf>
      <protection locked="0" hidden="0"/>
    </dxf>
    <dxf>
      <alignment horizontal="right" textRotation="0" indent="0" justifyLastLine="0" shrinkToFit="0" readingOrder="0"/>
      <protection locked="1" hidden="0"/>
    </dxf>
    <dxf>
      <border outline="0">
        <top style="medium">
          <color indexed="64"/>
        </top>
      </border>
    </dxf>
    <dxf>
      <protection locked="0" hidden="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ulukko1" displayName="Taulukko1" ref="A2:X67" totalsRowCount="1" headerRowDxfId="51" dataDxfId="50" totalsRowDxfId="48" tableBorderDxfId="49">
  <autoFilter ref="A2:X66"/>
  <sortState ref="A3:V66">
    <sortCondition ref="L2:L66"/>
  </sortState>
  <tableColumns count="24">
    <tableColumn id="1" name="NIMI" totalsRowLabel="Summa" dataDxfId="47" totalsRowDxfId="46"/>
    <tableColumn id="23" name="Tapahtumien määrä" totalsRowFunction="sum" dataDxfId="45" totalsRowDxfId="44"/>
    <tableColumn id="2" name="TOIMINTA" totalsRowFunction="count" dataDxfId="43" totalsRowDxfId="42"/>
    <tableColumn id="19" name="SISÄLTÖ" totalsRowFunction="sum" dataDxfId="41" totalsRowDxfId="0"/>
    <tableColumn id="3" name="KOHDERYHMÄ" totalsRowFunction="count" dataDxfId="40" totalsRowDxfId="39"/>
    <tableColumn id="5" name="Alueellisuus" totalsRowFunction="count" dataDxfId="38" totalsRowDxfId="37"/>
    <tableColumn id="20" name="Ikäryhmä" totalsRowFunction="count" dataDxfId="36" totalsRowDxfId="35"/>
    <tableColumn id="22" name="KOHDERYHMÄN LISÄTIETO" dataDxfId="34" totalsRowDxfId="33"/>
    <tableColumn id="9" name="Tapahtuma kunta" dataDxfId="32" totalsRowDxfId="31"/>
    <tableColumn id="4" name="Tapahtuma Paikka" dataDxfId="30" totalsRowDxfId="29"/>
    <tableColumn id="6" name="alkuPvm" dataDxfId="28" totalsRowDxfId="27"/>
    <tableColumn id="18" name="loppuPvm" dataDxfId="26" totalsRowDxfId="25"/>
    <tableColumn id="8" name="Kesto (min) / tapaaminen" totalsRowFunction="sum" dataDxfId="24" totalsRowDxfId="23"/>
    <tableColumn id="17" name="Kokonais-kesto (min)" totalsRowFunction="sum" dataDxfId="22" totalsRowDxfId="21">
      <calculatedColumnFormula>SUM(Taulukko1[[#This Row],[Tapaamis-kerrat /lapsi]]*Taulukko1[[#This Row],[Kesto (min) / tapaaminen]])*Taulukko1[[#This Row],[Tapahtumien määrä]]</calculatedColumnFormula>
    </tableColumn>
    <tableColumn id="10" name="Tapaamis-kerrat /lapsi" totalsRowFunction="sum" dataDxfId="20" totalsRowDxfId="19"/>
    <tableColumn id="11" name="Kävijämäärä a) lapset" totalsRowFunction="sum" dataDxfId="18" totalsRowDxfId="17"/>
    <tableColumn id="12" name="Kävijämäärä b) aikuiset" totalsRowFunction="sum" dataDxfId="16" totalsRowDxfId="15"/>
    <tableColumn id="13" name="Kokonais-kävijämäärä" totalsRowFunction="sum" dataDxfId="14" totalsRowDxfId="13">
      <calculatedColumnFormula>SUM(Taulukko1[[#This Row],[Kävijämäärä a) lapset]:[Kävijämäärä b) aikuiset]])</calculatedColumnFormula>
    </tableColumn>
    <tableColumn id="16" name="Asiakaskontakti (lkm)" totalsRowFunction="sum" dataDxfId="12" totalsRowDxfId="11">
      <calculatedColumnFormula>SUM(R3*O3)</calculatedColumnFormula>
    </tableColumn>
    <tableColumn id="14" name="ERITYISRYHMÄT" dataDxfId="10" totalsRowDxfId="9"/>
    <tableColumn id="15" name="KIELI" dataDxfId="8" totalsRowDxfId="7"/>
    <tableColumn id="24" name="RAHOITUS" dataDxfId="6" totalsRowDxfId="5"/>
    <tableColumn id="7" name="SUOMI 100" totalsRowFunction="custom" dataDxfId="4" totalsRowDxfId="3">
      <totalsRowFormula>SUBTOTAL(103,Taulukko1[Tiedonantaja / vastuuhenkilö])</totalsRowFormula>
    </tableColumn>
    <tableColumn id="21" name="Tiedonantaja / vastuuhenkilö" totalsRowFunction="count" dataDxfId="2" totalsRowDxfId="1"/>
  </tableColumns>
  <tableStyleInfo name="TableStyleLight8" showFirstColumn="0" showLastColumn="0" showRowStripes="1" showColumnStripes="1"/>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topLeftCell="A2" zoomScale="90" zoomScaleNormal="90" workbookViewId="0">
      <pane ySplit="1" topLeftCell="A36" activePane="bottomLeft" state="frozen"/>
      <selection activeCell="A2" sqref="A2"/>
      <selection pane="bottomLeft" activeCell="D71" sqref="D71"/>
    </sheetView>
  </sheetViews>
  <sheetFormatPr defaultRowHeight="15" x14ac:dyDescent="0.25"/>
  <cols>
    <col min="1" max="1" width="31" style="97" customWidth="1"/>
    <col min="2" max="2" width="19.140625" style="97" customWidth="1"/>
    <col min="3" max="3" width="37.28515625" style="98" customWidth="1"/>
    <col min="4" max="4" width="34.140625" style="98" customWidth="1"/>
    <col min="5" max="5" width="32" style="98" customWidth="1"/>
    <col min="6" max="6" width="25" style="97" customWidth="1"/>
    <col min="7" max="7" width="29.42578125" style="97" customWidth="1"/>
    <col min="8" max="8" width="27.7109375" style="97" customWidth="1"/>
    <col min="9" max="9" width="15.85546875" style="97" customWidth="1"/>
    <col min="10" max="10" width="14.85546875" style="97" customWidth="1"/>
    <col min="11" max="12" width="12.85546875" style="97" customWidth="1"/>
    <col min="13" max="14" width="15.140625" style="97" customWidth="1"/>
    <col min="15" max="15" width="12.28515625" style="97" customWidth="1"/>
    <col min="16" max="16" width="16.140625" style="57" customWidth="1"/>
    <col min="17" max="17" width="16.42578125" style="97" customWidth="1"/>
    <col min="18" max="19" width="15.28515625" style="97" customWidth="1"/>
    <col min="20" max="20" width="45.5703125" style="97" customWidth="1"/>
    <col min="21" max="21" width="25.7109375" style="97" customWidth="1"/>
    <col min="22" max="22" width="47.5703125" style="97" customWidth="1"/>
    <col min="23" max="23" width="19.140625" style="97" customWidth="1"/>
    <col min="24" max="24" width="23.28515625" style="97" customWidth="1"/>
    <col min="25" max="16384" width="9.140625" style="97"/>
  </cols>
  <sheetData>
    <row r="1" spans="1:24" ht="15.75" thickBot="1" x14ac:dyDescent="0.3">
      <c r="A1" s="147" t="s">
        <v>1</v>
      </c>
      <c r="B1" s="148"/>
      <c r="C1" s="148"/>
      <c r="D1" s="148"/>
      <c r="E1" s="148"/>
      <c r="F1" s="148"/>
      <c r="G1" s="148"/>
      <c r="H1" s="148"/>
      <c r="I1" s="148"/>
      <c r="J1" s="148"/>
      <c r="K1" s="148"/>
      <c r="L1" s="148"/>
      <c r="M1" s="145" t="s">
        <v>2</v>
      </c>
      <c r="N1" s="146"/>
      <c r="O1" s="146"/>
      <c r="P1" s="146"/>
      <c r="Q1" s="146"/>
      <c r="R1" s="146"/>
      <c r="S1" s="146"/>
      <c r="T1" s="146"/>
      <c r="U1" s="146"/>
      <c r="V1" s="146"/>
      <c r="W1" s="146"/>
      <c r="X1" s="146"/>
    </row>
    <row r="2" spans="1:24" s="99" customFormat="1" ht="30.75" customHeight="1" x14ac:dyDescent="0.25">
      <c r="A2" s="109" t="s">
        <v>3</v>
      </c>
      <c r="B2" s="109" t="s">
        <v>141</v>
      </c>
      <c r="C2" s="110" t="s">
        <v>4</v>
      </c>
      <c r="D2" s="110" t="s">
        <v>174</v>
      </c>
      <c r="E2" s="111" t="s">
        <v>5</v>
      </c>
      <c r="F2" s="112" t="s">
        <v>123</v>
      </c>
      <c r="G2" s="115" t="s">
        <v>122</v>
      </c>
      <c r="H2" s="112" t="s">
        <v>6</v>
      </c>
      <c r="I2" s="112" t="s">
        <v>89</v>
      </c>
      <c r="J2" s="112" t="s">
        <v>90</v>
      </c>
      <c r="K2" s="109" t="s">
        <v>86</v>
      </c>
      <c r="L2" s="109" t="s">
        <v>87</v>
      </c>
      <c r="M2" s="109" t="s">
        <v>99</v>
      </c>
      <c r="N2" s="109" t="s">
        <v>100</v>
      </c>
      <c r="O2" s="109" t="s">
        <v>142</v>
      </c>
      <c r="P2" s="113" t="s">
        <v>98</v>
      </c>
      <c r="Q2" s="114" t="s">
        <v>47</v>
      </c>
      <c r="R2" s="114" t="s">
        <v>103</v>
      </c>
      <c r="S2" s="114" t="s">
        <v>63</v>
      </c>
      <c r="T2" s="115" t="s">
        <v>96</v>
      </c>
      <c r="U2" s="115" t="s">
        <v>144</v>
      </c>
      <c r="V2" s="115" t="s">
        <v>145</v>
      </c>
      <c r="W2" s="115" t="s">
        <v>170</v>
      </c>
      <c r="X2" s="115" t="s">
        <v>158</v>
      </c>
    </row>
    <row r="3" spans="1:24" ht="15.75" customHeight="1" x14ac:dyDescent="0.25">
      <c r="A3" s="100"/>
      <c r="B3" s="100"/>
      <c r="C3" s="101" t="s">
        <v>54</v>
      </c>
      <c r="D3" s="102" t="s">
        <v>54</v>
      </c>
      <c r="E3" s="101" t="s">
        <v>54</v>
      </c>
      <c r="F3" s="102" t="s">
        <v>54</v>
      </c>
      <c r="G3" s="102" t="s">
        <v>54</v>
      </c>
      <c r="H3" s="100"/>
      <c r="I3" s="100"/>
      <c r="J3" s="100"/>
      <c r="K3" s="103"/>
      <c r="L3" s="103"/>
      <c r="M3" s="104"/>
      <c r="N3" s="116">
        <f>SUM(Taulukko1[[#This Row],[Tapaamis-kerrat /lapsi]]*Taulukko1[[#This Row],[Kesto (min) / tapaaminen]])*Taulukko1[[#This Row],[Tapahtumien määrä]]</f>
        <v>0</v>
      </c>
      <c r="O3" s="105"/>
      <c r="P3" s="106"/>
      <c r="Q3" s="100"/>
      <c r="R3" s="117">
        <f>SUM(Taulukko1[[#This Row],[Kävijämäärä a) lapset]:[Kävijämäärä b) aikuiset]])</f>
        <v>0</v>
      </c>
      <c r="S3" s="117">
        <f t="shared" ref="S3:S34" si="0">SUM(R3*O3)</f>
        <v>0</v>
      </c>
      <c r="T3" s="101" t="s">
        <v>54</v>
      </c>
      <c r="U3" s="101" t="s">
        <v>54</v>
      </c>
      <c r="V3" s="101" t="s">
        <v>54</v>
      </c>
      <c r="W3" s="101" t="s">
        <v>54</v>
      </c>
      <c r="X3" s="133"/>
    </row>
    <row r="4" spans="1:24" ht="15.75" customHeight="1" x14ac:dyDescent="0.25">
      <c r="A4" s="100"/>
      <c r="B4" s="100"/>
      <c r="C4" s="101" t="s">
        <v>54</v>
      </c>
      <c r="D4" s="102" t="s">
        <v>54</v>
      </c>
      <c r="E4" s="101" t="s">
        <v>54</v>
      </c>
      <c r="F4" s="102" t="s">
        <v>54</v>
      </c>
      <c r="G4" s="102" t="s">
        <v>54</v>
      </c>
      <c r="H4" s="100"/>
      <c r="I4" s="100"/>
      <c r="J4" s="100"/>
      <c r="K4" s="103"/>
      <c r="L4" s="103"/>
      <c r="M4" s="104"/>
      <c r="N4" s="116">
        <f>SUM(Taulukko1[[#This Row],[Tapaamis-kerrat /lapsi]]*Taulukko1[[#This Row],[Kesto (min) / tapaaminen]])*Taulukko1[[#This Row],[Tapahtumien määrä]]</f>
        <v>0</v>
      </c>
      <c r="O4" s="105"/>
      <c r="P4" s="106"/>
      <c r="Q4" s="100"/>
      <c r="R4" s="117">
        <f>SUM(Taulukko1[[#This Row],[Kävijämäärä a) lapset]:[Kävijämäärä b) aikuiset]])</f>
        <v>0</v>
      </c>
      <c r="S4" s="117">
        <f t="shared" si="0"/>
        <v>0</v>
      </c>
      <c r="T4" s="101" t="s">
        <v>54</v>
      </c>
      <c r="U4" s="101" t="s">
        <v>54</v>
      </c>
      <c r="V4" s="101" t="s">
        <v>54</v>
      </c>
      <c r="W4" s="101" t="s">
        <v>54</v>
      </c>
      <c r="X4" s="133"/>
    </row>
    <row r="5" spans="1:24" ht="15.75" customHeight="1" x14ac:dyDescent="0.25">
      <c r="A5" s="100"/>
      <c r="B5" s="100"/>
      <c r="C5" s="101" t="s">
        <v>54</v>
      </c>
      <c r="D5" s="102" t="s">
        <v>54</v>
      </c>
      <c r="E5" s="101" t="s">
        <v>54</v>
      </c>
      <c r="F5" s="102" t="s">
        <v>54</v>
      </c>
      <c r="G5" s="102" t="s">
        <v>54</v>
      </c>
      <c r="H5" s="100"/>
      <c r="I5" s="100"/>
      <c r="J5" s="100"/>
      <c r="K5" s="103"/>
      <c r="L5" s="103"/>
      <c r="M5" s="104"/>
      <c r="N5" s="116">
        <f>SUM(Taulukko1[[#This Row],[Tapaamis-kerrat /lapsi]]*Taulukko1[[#This Row],[Kesto (min) / tapaaminen]])*Taulukko1[[#This Row],[Tapahtumien määrä]]</f>
        <v>0</v>
      </c>
      <c r="O5" s="105"/>
      <c r="P5" s="106"/>
      <c r="Q5" s="100"/>
      <c r="R5" s="117">
        <f>SUM(Taulukko1[[#This Row],[Kävijämäärä a) lapset]:[Kävijämäärä b) aikuiset]])</f>
        <v>0</v>
      </c>
      <c r="S5" s="117">
        <f t="shared" si="0"/>
        <v>0</v>
      </c>
      <c r="T5" s="101" t="s">
        <v>54</v>
      </c>
      <c r="U5" s="101" t="s">
        <v>54</v>
      </c>
      <c r="V5" s="101" t="s">
        <v>54</v>
      </c>
      <c r="W5" s="101" t="s">
        <v>54</v>
      </c>
      <c r="X5" s="133"/>
    </row>
    <row r="6" spans="1:24" ht="15.75" customHeight="1" x14ac:dyDescent="0.25">
      <c r="A6" s="100"/>
      <c r="B6" s="100"/>
      <c r="C6" s="101" t="s">
        <v>54</v>
      </c>
      <c r="D6" s="102" t="s">
        <v>54</v>
      </c>
      <c r="E6" s="101" t="s">
        <v>54</v>
      </c>
      <c r="F6" s="102" t="s">
        <v>54</v>
      </c>
      <c r="G6" s="102" t="s">
        <v>54</v>
      </c>
      <c r="H6" s="100"/>
      <c r="I6" s="100"/>
      <c r="J6" s="100"/>
      <c r="K6" s="103"/>
      <c r="L6" s="103"/>
      <c r="M6" s="104"/>
      <c r="N6" s="116">
        <f>SUM(Taulukko1[[#This Row],[Tapaamis-kerrat /lapsi]]*Taulukko1[[#This Row],[Kesto (min) / tapaaminen]])*Taulukko1[[#This Row],[Tapahtumien määrä]]</f>
        <v>0</v>
      </c>
      <c r="O6" s="105"/>
      <c r="P6" s="106"/>
      <c r="Q6" s="100"/>
      <c r="R6" s="117">
        <f>SUM(Taulukko1[[#This Row],[Kävijämäärä a) lapset]:[Kävijämäärä b) aikuiset]])</f>
        <v>0</v>
      </c>
      <c r="S6" s="117">
        <f t="shared" si="0"/>
        <v>0</v>
      </c>
      <c r="T6" s="101" t="s">
        <v>54</v>
      </c>
      <c r="U6" s="101" t="s">
        <v>54</v>
      </c>
      <c r="V6" s="101" t="s">
        <v>54</v>
      </c>
      <c r="W6" s="101" t="s">
        <v>54</v>
      </c>
      <c r="X6" s="133"/>
    </row>
    <row r="7" spans="1:24" ht="15.75" customHeight="1" x14ac:dyDescent="0.25">
      <c r="A7" s="100"/>
      <c r="B7" s="100"/>
      <c r="C7" s="101" t="s">
        <v>54</v>
      </c>
      <c r="D7" s="102" t="s">
        <v>54</v>
      </c>
      <c r="E7" s="101" t="s">
        <v>54</v>
      </c>
      <c r="F7" s="102" t="s">
        <v>54</v>
      </c>
      <c r="G7" s="102" t="s">
        <v>54</v>
      </c>
      <c r="H7" s="100"/>
      <c r="I7" s="100"/>
      <c r="J7" s="100"/>
      <c r="K7" s="103"/>
      <c r="L7" s="103"/>
      <c r="M7" s="104"/>
      <c r="N7" s="116">
        <f>SUM(Taulukko1[[#This Row],[Tapaamis-kerrat /lapsi]]*Taulukko1[[#This Row],[Kesto (min) / tapaaminen]])*Taulukko1[[#This Row],[Tapahtumien määrä]]</f>
        <v>0</v>
      </c>
      <c r="O7" s="105"/>
      <c r="P7" s="106"/>
      <c r="Q7" s="100"/>
      <c r="R7" s="117">
        <f>SUM(Taulukko1[[#This Row],[Kävijämäärä a) lapset]:[Kävijämäärä b) aikuiset]])</f>
        <v>0</v>
      </c>
      <c r="S7" s="117">
        <f t="shared" si="0"/>
        <v>0</v>
      </c>
      <c r="T7" s="101" t="s">
        <v>54</v>
      </c>
      <c r="U7" s="101" t="s">
        <v>54</v>
      </c>
      <c r="V7" s="101" t="s">
        <v>54</v>
      </c>
      <c r="W7" s="101" t="s">
        <v>54</v>
      </c>
      <c r="X7" s="133"/>
    </row>
    <row r="8" spans="1:24" ht="15.75" customHeight="1" x14ac:dyDescent="0.25">
      <c r="A8" s="100"/>
      <c r="B8" s="100"/>
      <c r="C8" s="101" t="s">
        <v>54</v>
      </c>
      <c r="D8" s="102" t="s">
        <v>54</v>
      </c>
      <c r="E8" s="101" t="s">
        <v>54</v>
      </c>
      <c r="F8" s="102" t="s">
        <v>54</v>
      </c>
      <c r="G8" s="102" t="s">
        <v>54</v>
      </c>
      <c r="H8" s="100"/>
      <c r="I8" s="100"/>
      <c r="J8" s="100"/>
      <c r="K8" s="103"/>
      <c r="L8" s="103"/>
      <c r="M8" s="104"/>
      <c r="N8" s="116">
        <f>SUM(Taulukko1[[#This Row],[Tapaamis-kerrat /lapsi]]*Taulukko1[[#This Row],[Kesto (min) / tapaaminen]])*Taulukko1[[#This Row],[Tapahtumien määrä]]</f>
        <v>0</v>
      </c>
      <c r="O8" s="105"/>
      <c r="P8" s="106"/>
      <c r="Q8" s="100"/>
      <c r="R8" s="117">
        <f>SUM(Taulukko1[[#This Row],[Kävijämäärä a) lapset]:[Kävijämäärä b) aikuiset]])</f>
        <v>0</v>
      </c>
      <c r="S8" s="117">
        <f t="shared" si="0"/>
        <v>0</v>
      </c>
      <c r="T8" s="101" t="s">
        <v>54</v>
      </c>
      <c r="U8" s="101" t="s">
        <v>54</v>
      </c>
      <c r="V8" s="101" t="s">
        <v>54</v>
      </c>
      <c r="W8" s="101" t="s">
        <v>54</v>
      </c>
      <c r="X8" s="133"/>
    </row>
    <row r="9" spans="1:24" ht="15.75" customHeight="1" x14ac:dyDescent="0.25">
      <c r="A9" s="100"/>
      <c r="B9" s="100"/>
      <c r="C9" s="101" t="s">
        <v>54</v>
      </c>
      <c r="D9" s="102" t="s">
        <v>54</v>
      </c>
      <c r="E9" s="101" t="s">
        <v>54</v>
      </c>
      <c r="F9" s="102" t="s">
        <v>54</v>
      </c>
      <c r="G9" s="102" t="s">
        <v>54</v>
      </c>
      <c r="H9" s="100"/>
      <c r="I9" s="100"/>
      <c r="J9" s="100"/>
      <c r="K9" s="103"/>
      <c r="L9" s="103"/>
      <c r="M9" s="104"/>
      <c r="N9" s="116">
        <f>SUM(Taulukko1[[#This Row],[Tapaamis-kerrat /lapsi]]*Taulukko1[[#This Row],[Kesto (min) / tapaaminen]])*Taulukko1[[#This Row],[Tapahtumien määrä]]</f>
        <v>0</v>
      </c>
      <c r="O9" s="105"/>
      <c r="P9" s="106"/>
      <c r="Q9" s="100"/>
      <c r="R9" s="117">
        <f>SUM(Taulukko1[[#This Row],[Kävijämäärä a) lapset]:[Kävijämäärä b) aikuiset]])</f>
        <v>0</v>
      </c>
      <c r="S9" s="117">
        <f t="shared" si="0"/>
        <v>0</v>
      </c>
      <c r="T9" s="101" t="s">
        <v>54</v>
      </c>
      <c r="U9" s="101" t="s">
        <v>54</v>
      </c>
      <c r="V9" s="101" t="s">
        <v>54</v>
      </c>
      <c r="W9" s="101" t="s">
        <v>54</v>
      </c>
      <c r="X9" s="133"/>
    </row>
    <row r="10" spans="1:24" ht="15.75" customHeight="1" x14ac:dyDescent="0.25">
      <c r="A10" s="100"/>
      <c r="B10" s="100"/>
      <c r="C10" s="101" t="s">
        <v>54</v>
      </c>
      <c r="D10" s="102" t="s">
        <v>54</v>
      </c>
      <c r="E10" s="101" t="s">
        <v>54</v>
      </c>
      <c r="F10" s="102" t="s">
        <v>54</v>
      </c>
      <c r="G10" s="102" t="s">
        <v>54</v>
      </c>
      <c r="H10" s="100"/>
      <c r="I10" s="100"/>
      <c r="J10" s="100"/>
      <c r="K10" s="103"/>
      <c r="L10" s="103"/>
      <c r="M10" s="104"/>
      <c r="N10" s="116">
        <f>SUM(Taulukko1[[#This Row],[Tapaamis-kerrat /lapsi]]*Taulukko1[[#This Row],[Kesto (min) / tapaaminen]])*Taulukko1[[#This Row],[Tapahtumien määrä]]</f>
        <v>0</v>
      </c>
      <c r="O10" s="105"/>
      <c r="P10" s="106"/>
      <c r="Q10" s="100"/>
      <c r="R10" s="117">
        <f>SUM(Taulukko1[[#This Row],[Kävijämäärä a) lapset]:[Kävijämäärä b) aikuiset]])</f>
        <v>0</v>
      </c>
      <c r="S10" s="117">
        <f t="shared" si="0"/>
        <v>0</v>
      </c>
      <c r="T10" s="101" t="s">
        <v>54</v>
      </c>
      <c r="U10" s="101" t="s">
        <v>54</v>
      </c>
      <c r="V10" s="101" t="s">
        <v>54</v>
      </c>
      <c r="W10" s="101" t="s">
        <v>54</v>
      </c>
      <c r="X10" s="133"/>
    </row>
    <row r="11" spans="1:24" ht="15.75" customHeight="1" x14ac:dyDescent="0.25">
      <c r="A11" s="100"/>
      <c r="B11" s="100"/>
      <c r="C11" s="101" t="s">
        <v>54</v>
      </c>
      <c r="D11" s="102" t="s">
        <v>54</v>
      </c>
      <c r="E11" s="101" t="s">
        <v>54</v>
      </c>
      <c r="F11" s="102" t="s">
        <v>54</v>
      </c>
      <c r="G11" s="102" t="s">
        <v>54</v>
      </c>
      <c r="H11" s="100"/>
      <c r="I11" s="100"/>
      <c r="J11" s="100"/>
      <c r="K11" s="103"/>
      <c r="L11" s="103"/>
      <c r="M11" s="104"/>
      <c r="N11" s="116">
        <f>SUM(Taulukko1[[#This Row],[Tapaamis-kerrat /lapsi]]*Taulukko1[[#This Row],[Kesto (min) / tapaaminen]])*Taulukko1[[#This Row],[Tapahtumien määrä]]</f>
        <v>0</v>
      </c>
      <c r="O11" s="105"/>
      <c r="P11" s="106"/>
      <c r="Q11" s="100"/>
      <c r="R11" s="117">
        <f>SUM(Taulukko1[[#This Row],[Kävijämäärä a) lapset]:[Kävijämäärä b) aikuiset]])</f>
        <v>0</v>
      </c>
      <c r="S11" s="117">
        <f t="shared" si="0"/>
        <v>0</v>
      </c>
      <c r="T11" s="101" t="s">
        <v>54</v>
      </c>
      <c r="U11" s="101" t="s">
        <v>54</v>
      </c>
      <c r="V11" s="101" t="s">
        <v>54</v>
      </c>
      <c r="W11" s="101" t="s">
        <v>54</v>
      </c>
      <c r="X11" s="133"/>
    </row>
    <row r="12" spans="1:24" ht="15.75" customHeight="1" x14ac:dyDescent="0.25">
      <c r="A12" s="100"/>
      <c r="B12" s="100"/>
      <c r="C12" s="101" t="s">
        <v>54</v>
      </c>
      <c r="D12" s="102" t="s">
        <v>54</v>
      </c>
      <c r="E12" s="101" t="s">
        <v>54</v>
      </c>
      <c r="F12" s="102" t="s">
        <v>54</v>
      </c>
      <c r="G12" s="102" t="s">
        <v>54</v>
      </c>
      <c r="H12" s="100"/>
      <c r="I12" s="100"/>
      <c r="J12" s="100"/>
      <c r="K12" s="103"/>
      <c r="L12" s="103"/>
      <c r="M12" s="104"/>
      <c r="N12" s="116">
        <f>SUM(Taulukko1[[#This Row],[Tapaamis-kerrat /lapsi]]*Taulukko1[[#This Row],[Kesto (min) / tapaaminen]])*Taulukko1[[#This Row],[Tapahtumien määrä]]</f>
        <v>0</v>
      </c>
      <c r="O12" s="105"/>
      <c r="P12" s="106"/>
      <c r="Q12" s="100"/>
      <c r="R12" s="117">
        <f>SUM(Taulukko1[[#This Row],[Kävijämäärä a) lapset]:[Kävijämäärä b) aikuiset]])</f>
        <v>0</v>
      </c>
      <c r="S12" s="117">
        <f t="shared" si="0"/>
        <v>0</v>
      </c>
      <c r="T12" s="101" t="s">
        <v>54</v>
      </c>
      <c r="U12" s="101" t="s">
        <v>54</v>
      </c>
      <c r="V12" s="101" t="s">
        <v>54</v>
      </c>
      <c r="W12" s="101" t="s">
        <v>54</v>
      </c>
      <c r="X12" s="133"/>
    </row>
    <row r="13" spans="1:24" ht="15.75" customHeight="1" x14ac:dyDescent="0.25">
      <c r="A13" s="100"/>
      <c r="B13" s="100"/>
      <c r="C13" s="101" t="s">
        <v>54</v>
      </c>
      <c r="D13" s="102" t="s">
        <v>54</v>
      </c>
      <c r="E13" s="101" t="s">
        <v>54</v>
      </c>
      <c r="F13" s="102" t="s">
        <v>54</v>
      </c>
      <c r="G13" s="102" t="s">
        <v>54</v>
      </c>
      <c r="H13" s="100"/>
      <c r="I13" s="100"/>
      <c r="J13" s="100"/>
      <c r="K13" s="103"/>
      <c r="L13" s="103"/>
      <c r="M13" s="104"/>
      <c r="N13" s="116">
        <f>SUM(Taulukko1[[#This Row],[Tapaamis-kerrat /lapsi]]*Taulukko1[[#This Row],[Kesto (min) / tapaaminen]])*Taulukko1[[#This Row],[Tapahtumien määrä]]</f>
        <v>0</v>
      </c>
      <c r="O13" s="105"/>
      <c r="P13" s="106"/>
      <c r="Q13" s="100"/>
      <c r="R13" s="117">
        <f>SUM(Taulukko1[[#This Row],[Kävijämäärä a) lapset]:[Kävijämäärä b) aikuiset]])</f>
        <v>0</v>
      </c>
      <c r="S13" s="117">
        <f t="shared" si="0"/>
        <v>0</v>
      </c>
      <c r="T13" s="101" t="s">
        <v>54</v>
      </c>
      <c r="U13" s="101" t="s">
        <v>54</v>
      </c>
      <c r="V13" s="101" t="s">
        <v>54</v>
      </c>
      <c r="W13" s="101" t="s">
        <v>54</v>
      </c>
      <c r="X13" s="133"/>
    </row>
    <row r="14" spans="1:24" ht="15.75" customHeight="1" x14ac:dyDescent="0.25">
      <c r="A14" s="100"/>
      <c r="B14" s="100"/>
      <c r="C14" s="101" t="s">
        <v>54</v>
      </c>
      <c r="D14" s="102" t="s">
        <v>54</v>
      </c>
      <c r="E14" s="101" t="s">
        <v>54</v>
      </c>
      <c r="F14" s="102" t="s">
        <v>54</v>
      </c>
      <c r="G14" s="102" t="s">
        <v>54</v>
      </c>
      <c r="H14" s="100"/>
      <c r="I14" s="100"/>
      <c r="J14" s="100"/>
      <c r="K14" s="103"/>
      <c r="L14" s="103"/>
      <c r="M14" s="104"/>
      <c r="N14" s="116">
        <f>SUM(Taulukko1[[#This Row],[Tapaamis-kerrat /lapsi]]*Taulukko1[[#This Row],[Kesto (min) / tapaaminen]])*Taulukko1[[#This Row],[Tapahtumien määrä]]</f>
        <v>0</v>
      </c>
      <c r="O14" s="105"/>
      <c r="P14" s="106"/>
      <c r="Q14" s="100"/>
      <c r="R14" s="117">
        <f>SUM(Taulukko1[[#This Row],[Kävijämäärä a) lapset]:[Kävijämäärä b) aikuiset]])</f>
        <v>0</v>
      </c>
      <c r="S14" s="117">
        <f t="shared" si="0"/>
        <v>0</v>
      </c>
      <c r="T14" s="101" t="s">
        <v>54</v>
      </c>
      <c r="U14" s="101" t="s">
        <v>54</v>
      </c>
      <c r="V14" s="101" t="s">
        <v>54</v>
      </c>
      <c r="W14" s="101" t="s">
        <v>54</v>
      </c>
      <c r="X14" s="133"/>
    </row>
    <row r="15" spans="1:24" ht="15.75" customHeight="1" x14ac:dyDescent="0.25">
      <c r="A15" s="100"/>
      <c r="B15" s="100"/>
      <c r="C15" s="101" t="s">
        <v>54</v>
      </c>
      <c r="D15" s="102" t="s">
        <v>54</v>
      </c>
      <c r="E15" s="101" t="s">
        <v>54</v>
      </c>
      <c r="F15" s="102" t="s">
        <v>54</v>
      </c>
      <c r="G15" s="102" t="s">
        <v>54</v>
      </c>
      <c r="H15" s="100"/>
      <c r="I15" s="100"/>
      <c r="J15" s="100"/>
      <c r="K15" s="103"/>
      <c r="L15" s="103"/>
      <c r="M15" s="104"/>
      <c r="N15" s="116">
        <f>SUM(Taulukko1[[#This Row],[Tapaamis-kerrat /lapsi]]*Taulukko1[[#This Row],[Kesto (min) / tapaaminen]])*Taulukko1[[#This Row],[Tapahtumien määrä]]</f>
        <v>0</v>
      </c>
      <c r="O15" s="105"/>
      <c r="P15" s="106"/>
      <c r="Q15" s="100"/>
      <c r="R15" s="117">
        <f>SUM(Taulukko1[[#This Row],[Kävijämäärä a) lapset]:[Kävijämäärä b) aikuiset]])</f>
        <v>0</v>
      </c>
      <c r="S15" s="117">
        <f t="shared" si="0"/>
        <v>0</v>
      </c>
      <c r="T15" s="101" t="s">
        <v>54</v>
      </c>
      <c r="U15" s="101" t="s">
        <v>54</v>
      </c>
      <c r="V15" s="101" t="s">
        <v>54</v>
      </c>
      <c r="W15" s="101" t="s">
        <v>54</v>
      </c>
      <c r="X15" s="133"/>
    </row>
    <row r="16" spans="1:24" x14ac:dyDescent="0.25">
      <c r="A16" s="100"/>
      <c r="B16" s="100"/>
      <c r="C16" s="101" t="s">
        <v>54</v>
      </c>
      <c r="D16" s="102" t="s">
        <v>54</v>
      </c>
      <c r="E16" s="101" t="s">
        <v>54</v>
      </c>
      <c r="F16" s="102" t="s">
        <v>54</v>
      </c>
      <c r="G16" s="102" t="s">
        <v>54</v>
      </c>
      <c r="H16" s="100"/>
      <c r="I16" s="100"/>
      <c r="J16" s="100"/>
      <c r="K16" s="103"/>
      <c r="L16" s="103"/>
      <c r="M16" s="104"/>
      <c r="N16" s="116">
        <f>SUM(Taulukko1[[#This Row],[Tapaamis-kerrat /lapsi]]*Taulukko1[[#This Row],[Kesto (min) / tapaaminen]])*Taulukko1[[#This Row],[Tapahtumien määrä]]</f>
        <v>0</v>
      </c>
      <c r="O16" s="105"/>
      <c r="P16" s="106"/>
      <c r="Q16" s="100"/>
      <c r="R16" s="117">
        <f>SUM(Taulukko1[[#This Row],[Kävijämäärä a) lapset]:[Kävijämäärä b) aikuiset]])</f>
        <v>0</v>
      </c>
      <c r="S16" s="117">
        <f t="shared" si="0"/>
        <v>0</v>
      </c>
      <c r="T16" s="101" t="s">
        <v>54</v>
      </c>
      <c r="U16" s="101" t="s">
        <v>54</v>
      </c>
      <c r="V16" s="101" t="s">
        <v>54</v>
      </c>
      <c r="W16" s="101" t="s">
        <v>54</v>
      </c>
      <c r="X16" s="133"/>
    </row>
    <row r="17" spans="1:24" ht="17.25" customHeight="1" x14ac:dyDescent="0.25">
      <c r="A17" s="100"/>
      <c r="B17" s="100"/>
      <c r="C17" s="101" t="s">
        <v>54</v>
      </c>
      <c r="D17" s="102" t="s">
        <v>54</v>
      </c>
      <c r="E17" s="101" t="s">
        <v>54</v>
      </c>
      <c r="F17" s="102" t="s">
        <v>54</v>
      </c>
      <c r="G17" s="102" t="s">
        <v>54</v>
      </c>
      <c r="H17" s="100"/>
      <c r="I17" s="100"/>
      <c r="J17" s="100"/>
      <c r="K17" s="103"/>
      <c r="L17" s="103"/>
      <c r="M17" s="104"/>
      <c r="N17" s="116">
        <f>SUM(Taulukko1[[#This Row],[Tapaamis-kerrat /lapsi]]*Taulukko1[[#This Row],[Kesto (min) / tapaaminen]])*Taulukko1[[#This Row],[Tapahtumien määrä]]</f>
        <v>0</v>
      </c>
      <c r="O17" s="105"/>
      <c r="P17" s="106"/>
      <c r="Q17" s="100"/>
      <c r="R17" s="117">
        <f>SUM(Taulukko1[[#This Row],[Kävijämäärä a) lapset]:[Kävijämäärä b) aikuiset]])</f>
        <v>0</v>
      </c>
      <c r="S17" s="117">
        <f t="shared" si="0"/>
        <v>0</v>
      </c>
      <c r="T17" s="101" t="s">
        <v>54</v>
      </c>
      <c r="U17" s="101" t="s">
        <v>54</v>
      </c>
      <c r="V17" s="101" t="s">
        <v>54</v>
      </c>
      <c r="W17" s="101" t="s">
        <v>54</v>
      </c>
      <c r="X17" s="133"/>
    </row>
    <row r="18" spans="1:24" x14ac:dyDescent="0.25">
      <c r="A18" s="100"/>
      <c r="B18" s="100"/>
      <c r="C18" s="101" t="s">
        <v>54</v>
      </c>
      <c r="D18" s="102" t="s">
        <v>54</v>
      </c>
      <c r="E18" s="101" t="s">
        <v>54</v>
      </c>
      <c r="F18" s="102" t="s">
        <v>54</v>
      </c>
      <c r="G18" s="102" t="s">
        <v>54</v>
      </c>
      <c r="H18" s="100"/>
      <c r="I18" s="100"/>
      <c r="J18" s="100"/>
      <c r="K18" s="103"/>
      <c r="L18" s="103"/>
      <c r="M18" s="104"/>
      <c r="N18" s="116">
        <f>SUM(Taulukko1[[#This Row],[Tapaamis-kerrat /lapsi]]*Taulukko1[[#This Row],[Kesto (min) / tapaaminen]])*Taulukko1[[#This Row],[Tapahtumien määrä]]</f>
        <v>0</v>
      </c>
      <c r="O18" s="105"/>
      <c r="P18" s="106"/>
      <c r="Q18" s="100"/>
      <c r="R18" s="118">
        <f>SUM(Taulukko1[[#This Row],[Kävijämäärä a) lapset]:[Kävijämäärä b) aikuiset]])</f>
        <v>0</v>
      </c>
      <c r="S18" s="118">
        <f t="shared" si="0"/>
        <v>0</v>
      </c>
      <c r="T18" s="101" t="s">
        <v>54</v>
      </c>
      <c r="U18" s="101" t="s">
        <v>54</v>
      </c>
      <c r="V18" s="101" t="s">
        <v>54</v>
      </c>
      <c r="W18" s="101" t="s">
        <v>54</v>
      </c>
      <c r="X18" s="133"/>
    </row>
    <row r="19" spans="1:24" x14ac:dyDescent="0.25">
      <c r="A19" s="100"/>
      <c r="B19" s="100"/>
      <c r="C19" s="101" t="s">
        <v>54</v>
      </c>
      <c r="D19" s="102" t="s">
        <v>54</v>
      </c>
      <c r="E19" s="101" t="s">
        <v>54</v>
      </c>
      <c r="F19" s="102" t="s">
        <v>54</v>
      </c>
      <c r="G19" s="102" t="s">
        <v>54</v>
      </c>
      <c r="H19" s="100"/>
      <c r="I19" s="100"/>
      <c r="J19" s="100"/>
      <c r="K19" s="103"/>
      <c r="L19" s="103"/>
      <c r="M19" s="104"/>
      <c r="N19" s="116">
        <f>SUM(Taulukko1[[#This Row],[Tapaamis-kerrat /lapsi]]*Taulukko1[[#This Row],[Kesto (min) / tapaaminen]])*Taulukko1[[#This Row],[Tapahtumien määrä]]</f>
        <v>0</v>
      </c>
      <c r="O19" s="105"/>
      <c r="P19" s="106"/>
      <c r="Q19" s="100"/>
      <c r="R19" s="117">
        <f>SUM(Taulukko1[[#This Row],[Kävijämäärä a) lapset]:[Kävijämäärä b) aikuiset]])</f>
        <v>0</v>
      </c>
      <c r="S19" s="117">
        <f t="shared" si="0"/>
        <v>0</v>
      </c>
      <c r="T19" s="101" t="s">
        <v>54</v>
      </c>
      <c r="U19" s="101" t="s">
        <v>54</v>
      </c>
      <c r="V19" s="101" t="s">
        <v>54</v>
      </c>
      <c r="W19" s="101" t="s">
        <v>54</v>
      </c>
      <c r="X19" s="133"/>
    </row>
    <row r="20" spans="1:24" x14ac:dyDescent="0.25">
      <c r="A20" s="100"/>
      <c r="B20" s="100"/>
      <c r="C20" s="101" t="s">
        <v>54</v>
      </c>
      <c r="D20" s="102" t="s">
        <v>54</v>
      </c>
      <c r="E20" s="101" t="s">
        <v>54</v>
      </c>
      <c r="F20" s="102" t="s">
        <v>54</v>
      </c>
      <c r="G20" s="102" t="s">
        <v>54</v>
      </c>
      <c r="H20" s="100"/>
      <c r="I20" s="100"/>
      <c r="J20" s="100"/>
      <c r="K20" s="103"/>
      <c r="L20" s="103"/>
      <c r="M20" s="104"/>
      <c r="N20" s="116">
        <f>SUM(Taulukko1[[#This Row],[Tapaamis-kerrat /lapsi]]*Taulukko1[[#This Row],[Kesto (min) / tapaaminen]])*Taulukko1[[#This Row],[Tapahtumien määrä]]</f>
        <v>0</v>
      </c>
      <c r="O20" s="105"/>
      <c r="P20" s="106"/>
      <c r="Q20" s="100"/>
      <c r="R20" s="117">
        <f>SUM(Taulukko1[[#This Row],[Kävijämäärä a) lapset]:[Kävijämäärä b) aikuiset]])</f>
        <v>0</v>
      </c>
      <c r="S20" s="117">
        <f t="shared" si="0"/>
        <v>0</v>
      </c>
      <c r="T20" s="101" t="s">
        <v>54</v>
      </c>
      <c r="U20" s="101" t="s">
        <v>54</v>
      </c>
      <c r="V20" s="101" t="s">
        <v>54</v>
      </c>
      <c r="W20" s="101" t="s">
        <v>54</v>
      </c>
      <c r="X20" s="133"/>
    </row>
    <row r="21" spans="1:24" x14ac:dyDescent="0.25">
      <c r="A21" s="100"/>
      <c r="B21" s="100"/>
      <c r="C21" s="101" t="s">
        <v>54</v>
      </c>
      <c r="D21" s="102" t="s">
        <v>54</v>
      </c>
      <c r="E21" s="101" t="s">
        <v>54</v>
      </c>
      <c r="F21" s="102" t="s">
        <v>54</v>
      </c>
      <c r="G21" s="102" t="s">
        <v>54</v>
      </c>
      <c r="H21" s="100"/>
      <c r="I21" s="100"/>
      <c r="J21" s="100"/>
      <c r="K21" s="103"/>
      <c r="L21" s="103"/>
      <c r="M21" s="104"/>
      <c r="N21" s="116">
        <f>SUM(Taulukko1[[#This Row],[Tapaamis-kerrat /lapsi]]*Taulukko1[[#This Row],[Kesto (min) / tapaaminen]])*Taulukko1[[#This Row],[Tapahtumien määrä]]</f>
        <v>0</v>
      </c>
      <c r="O21" s="105"/>
      <c r="P21" s="106"/>
      <c r="Q21" s="100"/>
      <c r="R21" s="119">
        <f>SUM(Taulukko1[[#This Row],[Kävijämäärä a) lapset]:[Kävijämäärä b) aikuiset]])</f>
        <v>0</v>
      </c>
      <c r="S21" s="119">
        <f t="shared" si="0"/>
        <v>0</v>
      </c>
      <c r="T21" s="101" t="s">
        <v>54</v>
      </c>
      <c r="U21" s="101" t="s">
        <v>54</v>
      </c>
      <c r="V21" s="101" t="s">
        <v>54</v>
      </c>
      <c r="W21" s="101" t="s">
        <v>54</v>
      </c>
      <c r="X21" s="133"/>
    </row>
    <row r="22" spans="1:24" x14ac:dyDescent="0.25">
      <c r="A22" s="100"/>
      <c r="B22" s="100"/>
      <c r="C22" s="101" t="s">
        <v>54</v>
      </c>
      <c r="D22" s="102" t="s">
        <v>54</v>
      </c>
      <c r="E22" s="101" t="s">
        <v>54</v>
      </c>
      <c r="F22" s="102" t="s">
        <v>54</v>
      </c>
      <c r="G22" s="102" t="s">
        <v>54</v>
      </c>
      <c r="H22" s="100"/>
      <c r="I22" s="100"/>
      <c r="J22" s="100"/>
      <c r="K22" s="103"/>
      <c r="L22" s="103"/>
      <c r="M22" s="104"/>
      <c r="N22" s="116">
        <f>SUM(Taulukko1[[#This Row],[Tapaamis-kerrat /lapsi]]*Taulukko1[[#This Row],[Kesto (min) / tapaaminen]])*Taulukko1[[#This Row],[Tapahtumien määrä]]</f>
        <v>0</v>
      </c>
      <c r="O22" s="105"/>
      <c r="P22" s="106"/>
      <c r="Q22" s="100"/>
      <c r="R22" s="117">
        <f>SUM(Taulukko1[[#This Row],[Kävijämäärä a) lapset]:[Kävijämäärä b) aikuiset]])</f>
        <v>0</v>
      </c>
      <c r="S22" s="117">
        <f t="shared" si="0"/>
        <v>0</v>
      </c>
      <c r="T22" s="101" t="s">
        <v>54</v>
      </c>
      <c r="U22" s="101" t="s">
        <v>54</v>
      </c>
      <c r="V22" s="101" t="s">
        <v>54</v>
      </c>
      <c r="W22" s="101" t="s">
        <v>54</v>
      </c>
      <c r="X22" s="133"/>
    </row>
    <row r="23" spans="1:24" x14ac:dyDescent="0.25">
      <c r="A23" s="100"/>
      <c r="B23" s="100"/>
      <c r="C23" s="101" t="s">
        <v>54</v>
      </c>
      <c r="D23" s="102" t="s">
        <v>54</v>
      </c>
      <c r="E23" s="101" t="s">
        <v>54</v>
      </c>
      <c r="F23" s="102" t="s">
        <v>54</v>
      </c>
      <c r="G23" s="102" t="s">
        <v>54</v>
      </c>
      <c r="H23" s="100"/>
      <c r="I23" s="100"/>
      <c r="J23" s="100"/>
      <c r="K23" s="103"/>
      <c r="L23" s="103"/>
      <c r="M23" s="104"/>
      <c r="N23" s="116">
        <f>SUM(Taulukko1[[#This Row],[Tapaamis-kerrat /lapsi]]*Taulukko1[[#This Row],[Kesto (min) / tapaaminen]])*Taulukko1[[#This Row],[Tapahtumien määrä]]</f>
        <v>0</v>
      </c>
      <c r="O23" s="105"/>
      <c r="P23" s="106"/>
      <c r="Q23" s="100"/>
      <c r="R23" s="117">
        <f>SUM(Taulukko1[[#This Row],[Kävijämäärä a) lapset]:[Kävijämäärä b) aikuiset]])</f>
        <v>0</v>
      </c>
      <c r="S23" s="117">
        <f t="shared" si="0"/>
        <v>0</v>
      </c>
      <c r="T23" s="101" t="s">
        <v>54</v>
      </c>
      <c r="U23" s="101" t="s">
        <v>54</v>
      </c>
      <c r="V23" s="101" t="s">
        <v>54</v>
      </c>
      <c r="W23" s="101" t="s">
        <v>54</v>
      </c>
      <c r="X23" s="133"/>
    </row>
    <row r="24" spans="1:24" x14ac:dyDescent="0.25">
      <c r="A24" s="100"/>
      <c r="B24" s="100"/>
      <c r="C24" s="101" t="s">
        <v>54</v>
      </c>
      <c r="D24" s="102" t="s">
        <v>54</v>
      </c>
      <c r="E24" s="101" t="s">
        <v>54</v>
      </c>
      <c r="F24" s="102" t="s">
        <v>54</v>
      </c>
      <c r="G24" s="102" t="s">
        <v>54</v>
      </c>
      <c r="H24" s="107"/>
      <c r="I24" s="100"/>
      <c r="J24" s="100"/>
      <c r="K24" s="103"/>
      <c r="L24" s="103"/>
      <c r="M24" s="104"/>
      <c r="N24" s="116">
        <f>SUM(Taulukko1[[#This Row],[Tapaamis-kerrat /lapsi]]*Taulukko1[[#This Row],[Kesto (min) / tapaaminen]])*Taulukko1[[#This Row],[Tapahtumien määrä]]</f>
        <v>0</v>
      </c>
      <c r="O24" s="105"/>
      <c r="P24" s="106"/>
      <c r="Q24" s="100"/>
      <c r="R24" s="119">
        <f>SUM(Taulukko1[[#This Row],[Kävijämäärä a) lapset]:[Kävijämäärä b) aikuiset]])</f>
        <v>0</v>
      </c>
      <c r="S24" s="119">
        <f t="shared" si="0"/>
        <v>0</v>
      </c>
      <c r="T24" s="101" t="s">
        <v>54</v>
      </c>
      <c r="U24" s="101" t="s">
        <v>54</v>
      </c>
      <c r="V24" s="101" t="s">
        <v>54</v>
      </c>
      <c r="W24" s="101" t="s">
        <v>54</v>
      </c>
      <c r="X24" s="133"/>
    </row>
    <row r="25" spans="1:24" x14ac:dyDescent="0.25">
      <c r="A25" s="100"/>
      <c r="B25" s="100"/>
      <c r="C25" s="101" t="s">
        <v>54</v>
      </c>
      <c r="D25" s="102" t="s">
        <v>54</v>
      </c>
      <c r="E25" s="101" t="s">
        <v>54</v>
      </c>
      <c r="F25" s="102" t="s">
        <v>54</v>
      </c>
      <c r="G25" s="102" t="s">
        <v>54</v>
      </c>
      <c r="H25" s="107"/>
      <c r="I25" s="100"/>
      <c r="J25" s="100"/>
      <c r="K25" s="103"/>
      <c r="L25" s="103"/>
      <c r="M25" s="104"/>
      <c r="N25" s="116">
        <f>SUM(Taulukko1[[#This Row],[Tapaamis-kerrat /lapsi]]*Taulukko1[[#This Row],[Kesto (min) / tapaaminen]])*Taulukko1[[#This Row],[Tapahtumien määrä]]</f>
        <v>0</v>
      </c>
      <c r="O25" s="105"/>
      <c r="P25" s="106"/>
      <c r="Q25" s="100"/>
      <c r="R25" s="117">
        <f>SUM(Taulukko1[[#This Row],[Kävijämäärä a) lapset]:[Kävijämäärä b) aikuiset]])</f>
        <v>0</v>
      </c>
      <c r="S25" s="117">
        <f t="shared" si="0"/>
        <v>0</v>
      </c>
      <c r="T25" s="101" t="s">
        <v>54</v>
      </c>
      <c r="U25" s="101" t="s">
        <v>54</v>
      </c>
      <c r="V25" s="101" t="s">
        <v>54</v>
      </c>
      <c r="W25" s="101" t="s">
        <v>54</v>
      </c>
      <c r="X25" s="133"/>
    </row>
    <row r="26" spans="1:24" x14ac:dyDescent="0.25">
      <c r="A26" s="100"/>
      <c r="B26" s="100"/>
      <c r="C26" s="101" t="s">
        <v>54</v>
      </c>
      <c r="D26" s="102" t="s">
        <v>54</v>
      </c>
      <c r="E26" s="101" t="s">
        <v>54</v>
      </c>
      <c r="F26" s="102" t="s">
        <v>54</v>
      </c>
      <c r="G26" s="102" t="s">
        <v>54</v>
      </c>
      <c r="H26" s="107"/>
      <c r="I26" s="100"/>
      <c r="J26" s="100"/>
      <c r="K26" s="103"/>
      <c r="L26" s="103"/>
      <c r="M26" s="104"/>
      <c r="N26" s="116">
        <f>SUM(Taulukko1[[#This Row],[Tapaamis-kerrat /lapsi]]*Taulukko1[[#This Row],[Kesto (min) / tapaaminen]])*Taulukko1[[#This Row],[Tapahtumien määrä]]</f>
        <v>0</v>
      </c>
      <c r="O26" s="105"/>
      <c r="P26" s="106"/>
      <c r="Q26" s="100"/>
      <c r="R26" s="117">
        <f>SUM(Taulukko1[[#This Row],[Kävijämäärä a) lapset]:[Kävijämäärä b) aikuiset]])</f>
        <v>0</v>
      </c>
      <c r="S26" s="117">
        <f t="shared" si="0"/>
        <v>0</v>
      </c>
      <c r="T26" s="101" t="s">
        <v>54</v>
      </c>
      <c r="U26" s="101" t="s">
        <v>54</v>
      </c>
      <c r="V26" s="101" t="s">
        <v>54</v>
      </c>
      <c r="W26" s="101" t="s">
        <v>54</v>
      </c>
      <c r="X26" s="133"/>
    </row>
    <row r="27" spans="1:24" x14ac:dyDescent="0.25">
      <c r="A27" s="100"/>
      <c r="B27" s="100"/>
      <c r="C27" s="101" t="s">
        <v>54</v>
      </c>
      <c r="D27" s="102" t="s">
        <v>54</v>
      </c>
      <c r="E27" s="101" t="s">
        <v>54</v>
      </c>
      <c r="F27" s="102" t="s">
        <v>54</v>
      </c>
      <c r="G27" s="102" t="s">
        <v>54</v>
      </c>
      <c r="H27" s="107"/>
      <c r="I27" s="100"/>
      <c r="J27" s="100"/>
      <c r="K27" s="103"/>
      <c r="L27" s="103"/>
      <c r="M27" s="104"/>
      <c r="N27" s="116">
        <f>SUM(Taulukko1[[#This Row],[Tapaamis-kerrat /lapsi]]*Taulukko1[[#This Row],[Kesto (min) / tapaaminen]])*Taulukko1[[#This Row],[Tapahtumien määrä]]</f>
        <v>0</v>
      </c>
      <c r="O27" s="105"/>
      <c r="P27" s="106"/>
      <c r="Q27" s="100"/>
      <c r="R27" s="117">
        <f>SUM(Taulukko1[[#This Row],[Kävijämäärä a) lapset]:[Kävijämäärä b) aikuiset]])</f>
        <v>0</v>
      </c>
      <c r="S27" s="117">
        <f t="shared" si="0"/>
        <v>0</v>
      </c>
      <c r="T27" s="101" t="s">
        <v>54</v>
      </c>
      <c r="U27" s="101" t="s">
        <v>54</v>
      </c>
      <c r="V27" s="101" t="s">
        <v>54</v>
      </c>
      <c r="W27" s="101" t="s">
        <v>54</v>
      </c>
      <c r="X27" s="133"/>
    </row>
    <row r="28" spans="1:24" x14ac:dyDescent="0.25">
      <c r="A28" s="100"/>
      <c r="B28" s="100"/>
      <c r="C28" s="101" t="s">
        <v>54</v>
      </c>
      <c r="D28" s="102" t="s">
        <v>54</v>
      </c>
      <c r="E28" s="101" t="s">
        <v>54</v>
      </c>
      <c r="F28" s="102" t="s">
        <v>54</v>
      </c>
      <c r="G28" s="102" t="s">
        <v>54</v>
      </c>
      <c r="H28" s="107"/>
      <c r="I28" s="100"/>
      <c r="J28" s="100"/>
      <c r="K28" s="103"/>
      <c r="L28" s="103"/>
      <c r="M28" s="104"/>
      <c r="N28" s="116">
        <f>SUM(Taulukko1[[#This Row],[Tapaamis-kerrat /lapsi]]*Taulukko1[[#This Row],[Kesto (min) / tapaaminen]])*Taulukko1[[#This Row],[Tapahtumien määrä]]</f>
        <v>0</v>
      </c>
      <c r="O28" s="105"/>
      <c r="P28" s="106"/>
      <c r="Q28" s="100"/>
      <c r="R28" s="117">
        <f>SUM(Taulukko1[[#This Row],[Kävijämäärä a) lapset]:[Kävijämäärä b) aikuiset]])</f>
        <v>0</v>
      </c>
      <c r="S28" s="117">
        <f t="shared" si="0"/>
        <v>0</v>
      </c>
      <c r="T28" s="101" t="s">
        <v>54</v>
      </c>
      <c r="U28" s="101" t="s">
        <v>54</v>
      </c>
      <c r="V28" s="101" t="s">
        <v>54</v>
      </c>
      <c r="W28" s="101" t="s">
        <v>54</v>
      </c>
      <c r="X28" s="133"/>
    </row>
    <row r="29" spans="1:24" x14ac:dyDescent="0.25">
      <c r="A29" s="100"/>
      <c r="B29" s="100"/>
      <c r="C29" s="101" t="s">
        <v>54</v>
      </c>
      <c r="D29" s="102" t="s">
        <v>54</v>
      </c>
      <c r="E29" s="101" t="s">
        <v>54</v>
      </c>
      <c r="F29" s="102" t="s">
        <v>54</v>
      </c>
      <c r="G29" s="102" t="s">
        <v>54</v>
      </c>
      <c r="H29" s="107"/>
      <c r="I29" s="100"/>
      <c r="J29" s="100"/>
      <c r="K29" s="103"/>
      <c r="L29" s="103"/>
      <c r="M29" s="104"/>
      <c r="N29" s="116">
        <f>SUM(Taulukko1[[#This Row],[Tapaamis-kerrat /lapsi]]*Taulukko1[[#This Row],[Kesto (min) / tapaaminen]])*Taulukko1[[#This Row],[Tapahtumien määrä]]</f>
        <v>0</v>
      </c>
      <c r="O29" s="105"/>
      <c r="P29" s="106"/>
      <c r="Q29" s="100"/>
      <c r="R29" s="117">
        <f>SUM(Taulukko1[[#This Row],[Kävijämäärä a) lapset]:[Kävijämäärä b) aikuiset]])</f>
        <v>0</v>
      </c>
      <c r="S29" s="117">
        <f t="shared" si="0"/>
        <v>0</v>
      </c>
      <c r="T29" s="101" t="s">
        <v>54</v>
      </c>
      <c r="U29" s="101" t="s">
        <v>54</v>
      </c>
      <c r="V29" s="101" t="s">
        <v>54</v>
      </c>
      <c r="W29" s="101" t="s">
        <v>54</v>
      </c>
      <c r="X29" s="133"/>
    </row>
    <row r="30" spans="1:24" x14ac:dyDescent="0.25">
      <c r="A30" s="100"/>
      <c r="B30" s="100"/>
      <c r="C30" s="101" t="s">
        <v>54</v>
      </c>
      <c r="D30" s="102" t="s">
        <v>54</v>
      </c>
      <c r="E30" s="101" t="s">
        <v>54</v>
      </c>
      <c r="F30" s="102" t="s">
        <v>54</v>
      </c>
      <c r="G30" s="102" t="s">
        <v>54</v>
      </c>
      <c r="H30" s="107"/>
      <c r="I30" s="100"/>
      <c r="J30" s="107"/>
      <c r="K30" s="103"/>
      <c r="L30" s="103"/>
      <c r="M30" s="104"/>
      <c r="N30" s="116">
        <f>SUM(Taulukko1[[#This Row],[Tapaamis-kerrat /lapsi]]*Taulukko1[[#This Row],[Kesto (min) / tapaaminen]])*Taulukko1[[#This Row],[Tapahtumien määrä]]</f>
        <v>0</v>
      </c>
      <c r="O30" s="105"/>
      <c r="P30" s="106"/>
      <c r="Q30" s="100"/>
      <c r="R30" s="117">
        <f>SUM(Taulukko1[[#This Row],[Kävijämäärä a) lapset]:[Kävijämäärä b) aikuiset]])</f>
        <v>0</v>
      </c>
      <c r="S30" s="117">
        <f t="shared" si="0"/>
        <v>0</v>
      </c>
      <c r="T30" s="101" t="s">
        <v>54</v>
      </c>
      <c r="U30" s="101" t="s">
        <v>54</v>
      </c>
      <c r="V30" s="101" t="s">
        <v>54</v>
      </c>
      <c r="W30" s="101" t="s">
        <v>54</v>
      </c>
      <c r="X30" s="133"/>
    </row>
    <row r="31" spans="1:24" x14ac:dyDescent="0.25">
      <c r="A31" s="100"/>
      <c r="B31" s="100"/>
      <c r="C31" s="101" t="s">
        <v>54</v>
      </c>
      <c r="D31" s="102" t="s">
        <v>54</v>
      </c>
      <c r="E31" s="101" t="s">
        <v>54</v>
      </c>
      <c r="F31" s="102" t="s">
        <v>54</v>
      </c>
      <c r="G31" s="102" t="s">
        <v>54</v>
      </c>
      <c r="H31" s="107"/>
      <c r="I31" s="100"/>
      <c r="J31" s="107"/>
      <c r="K31" s="103"/>
      <c r="L31" s="103"/>
      <c r="M31" s="104"/>
      <c r="N31" s="116">
        <f>SUM(Taulukko1[[#This Row],[Tapaamis-kerrat /lapsi]]*Taulukko1[[#This Row],[Kesto (min) / tapaaminen]])*Taulukko1[[#This Row],[Tapahtumien määrä]]</f>
        <v>0</v>
      </c>
      <c r="O31" s="105"/>
      <c r="P31" s="106"/>
      <c r="Q31" s="100"/>
      <c r="R31" s="117">
        <f>SUM(Taulukko1[[#This Row],[Kävijämäärä a) lapset]:[Kävijämäärä b) aikuiset]])</f>
        <v>0</v>
      </c>
      <c r="S31" s="117">
        <f t="shared" si="0"/>
        <v>0</v>
      </c>
      <c r="T31" s="101" t="s">
        <v>54</v>
      </c>
      <c r="U31" s="101" t="s">
        <v>54</v>
      </c>
      <c r="V31" s="101" t="s">
        <v>54</v>
      </c>
      <c r="W31" s="101" t="s">
        <v>54</v>
      </c>
      <c r="X31" s="133"/>
    </row>
    <row r="32" spans="1:24" x14ac:dyDescent="0.25">
      <c r="A32" s="100"/>
      <c r="B32" s="100"/>
      <c r="C32" s="101" t="s">
        <v>54</v>
      </c>
      <c r="D32" s="102" t="s">
        <v>54</v>
      </c>
      <c r="E32" s="101" t="s">
        <v>54</v>
      </c>
      <c r="F32" s="102" t="s">
        <v>54</v>
      </c>
      <c r="G32" s="102" t="s">
        <v>54</v>
      </c>
      <c r="H32" s="107"/>
      <c r="I32" s="100"/>
      <c r="J32" s="107"/>
      <c r="K32" s="103"/>
      <c r="L32" s="103"/>
      <c r="M32" s="104"/>
      <c r="N32" s="116">
        <f>SUM(Taulukko1[[#This Row],[Tapaamis-kerrat /lapsi]]*Taulukko1[[#This Row],[Kesto (min) / tapaaminen]])*Taulukko1[[#This Row],[Tapahtumien määrä]]</f>
        <v>0</v>
      </c>
      <c r="O32" s="105"/>
      <c r="P32" s="106"/>
      <c r="Q32" s="100"/>
      <c r="R32" s="117">
        <f>SUM(Taulukko1[[#This Row],[Kävijämäärä a) lapset]:[Kävijämäärä b) aikuiset]])</f>
        <v>0</v>
      </c>
      <c r="S32" s="117">
        <f t="shared" si="0"/>
        <v>0</v>
      </c>
      <c r="T32" s="101" t="s">
        <v>54</v>
      </c>
      <c r="U32" s="101" t="s">
        <v>54</v>
      </c>
      <c r="V32" s="101" t="s">
        <v>54</v>
      </c>
      <c r="W32" s="101" t="s">
        <v>54</v>
      </c>
      <c r="X32" s="133"/>
    </row>
    <row r="33" spans="1:24" x14ac:dyDescent="0.25">
      <c r="A33" s="100"/>
      <c r="B33" s="100"/>
      <c r="C33" s="101" t="s">
        <v>54</v>
      </c>
      <c r="D33" s="102" t="s">
        <v>54</v>
      </c>
      <c r="E33" s="101" t="s">
        <v>54</v>
      </c>
      <c r="F33" s="102" t="s">
        <v>54</v>
      </c>
      <c r="G33" s="102" t="s">
        <v>54</v>
      </c>
      <c r="H33" s="107"/>
      <c r="I33" s="100"/>
      <c r="J33" s="107"/>
      <c r="K33" s="103"/>
      <c r="L33" s="103"/>
      <c r="M33" s="104"/>
      <c r="N33" s="116">
        <f>SUM(Taulukko1[[#This Row],[Tapaamis-kerrat /lapsi]]*Taulukko1[[#This Row],[Kesto (min) / tapaaminen]])*Taulukko1[[#This Row],[Tapahtumien määrä]]</f>
        <v>0</v>
      </c>
      <c r="O33" s="105"/>
      <c r="P33" s="106"/>
      <c r="Q33" s="100"/>
      <c r="R33" s="117">
        <f>SUM(Taulukko1[[#This Row],[Kävijämäärä a) lapset]:[Kävijämäärä b) aikuiset]])</f>
        <v>0</v>
      </c>
      <c r="S33" s="117">
        <f t="shared" si="0"/>
        <v>0</v>
      </c>
      <c r="T33" s="101" t="s">
        <v>54</v>
      </c>
      <c r="U33" s="101" t="s">
        <v>54</v>
      </c>
      <c r="V33" s="101" t="s">
        <v>54</v>
      </c>
      <c r="W33" s="101" t="s">
        <v>54</v>
      </c>
      <c r="X33" s="133"/>
    </row>
    <row r="34" spans="1:24" x14ac:dyDescent="0.25">
      <c r="A34" s="100"/>
      <c r="B34" s="100"/>
      <c r="C34" s="101" t="s">
        <v>54</v>
      </c>
      <c r="D34" s="102" t="s">
        <v>54</v>
      </c>
      <c r="E34" s="101" t="s">
        <v>54</v>
      </c>
      <c r="F34" s="102" t="s">
        <v>54</v>
      </c>
      <c r="G34" s="102" t="s">
        <v>54</v>
      </c>
      <c r="H34" s="107"/>
      <c r="I34" s="100"/>
      <c r="J34" s="107"/>
      <c r="K34" s="103"/>
      <c r="L34" s="103"/>
      <c r="M34" s="104"/>
      <c r="N34" s="116">
        <f>SUM(Taulukko1[[#This Row],[Tapaamis-kerrat /lapsi]]*Taulukko1[[#This Row],[Kesto (min) / tapaaminen]])*Taulukko1[[#This Row],[Tapahtumien määrä]]</f>
        <v>0</v>
      </c>
      <c r="O34" s="105"/>
      <c r="P34" s="106"/>
      <c r="Q34" s="100"/>
      <c r="R34" s="117">
        <f>SUM(Taulukko1[[#This Row],[Kävijämäärä a) lapset]:[Kävijämäärä b) aikuiset]])</f>
        <v>0</v>
      </c>
      <c r="S34" s="117">
        <f t="shared" si="0"/>
        <v>0</v>
      </c>
      <c r="T34" s="101" t="s">
        <v>54</v>
      </c>
      <c r="U34" s="101" t="s">
        <v>54</v>
      </c>
      <c r="V34" s="101" t="s">
        <v>54</v>
      </c>
      <c r="W34" s="101" t="s">
        <v>54</v>
      </c>
      <c r="X34" s="133"/>
    </row>
    <row r="35" spans="1:24" x14ac:dyDescent="0.25">
      <c r="A35" s="100"/>
      <c r="B35" s="100"/>
      <c r="C35" s="101" t="s">
        <v>54</v>
      </c>
      <c r="D35" s="102" t="s">
        <v>54</v>
      </c>
      <c r="E35" s="101" t="s">
        <v>54</v>
      </c>
      <c r="F35" s="102" t="s">
        <v>54</v>
      </c>
      <c r="G35" s="102" t="s">
        <v>54</v>
      </c>
      <c r="H35" s="107"/>
      <c r="I35" s="100"/>
      <c r="J35" s="107"/>
      <c r="K35" s="103"/>
      <c r="L35" s="103"/>
      <c r="M35" s="104"/>
      <c r="N35" s="116">
        <f>SUM(Taulukko1[[#This Row],[Tapaamis-kerrat /lapsi]]*Taulukko1[[#This Row],[Kesto (min) / tapaaminen]])*Taulukko1[[#This Row],[Tapahtumien määrä]]</f>
        <v>0</v>
      </c>
      <c r="O35" s="105"/>
      <c r="P35" s="106"/>
      <c r="Q35" s="100"/>
      <c r="R35" s="117">
        <f>SUM(Taulukko1[[#This Row],[Kävijämäärä a) lapset]:[Kävijämäärä b) aikuiset]])</f>
        <v>0</v>
      </c>
      <c r="S35" s="117">
        <f t="shared" ref="S35:S66" si="1">SUM(R35*O35)</f>
        <v>0</v>
      </c>
      <c r="T35" s="101" t="s">
        <v>54</v>
      </c>
      <c r="U35" s="101" t="s">
        <v>54</v>
      </c>
      <c r="V35" s="101" t="s">
        <v>54</v>
      </c>
      <c r="W35" s="101" t="s">
        <v>54</v>
      </c>
      <c r="X35" s="133"/>
    </row>
    <row r="36" spans="1:24" x14ac:dyDescent="0.25">
      <c r="A36" s="100"/>
      <c r="B36" s="100"/>
      <c r="C36" s="101" t="s">
        <v>54</v>
      </c>
      <c r="D36" s="102" t="s">
        <v>54</v>
      </c>
      <c r="E36" s="101" t="s">
        <v>54</v>
      </c>
      <c r="F36" s="102" t="s">
        <v>54</v>
      </c>
      <c r="G36" s="102" t="s">
        <v>54</v>
      </c>
      <c r="H36" s="107"/>
      <c r="I36" s="100"/>
      <c r="J36" s="107"/>
      <c r="K36" s="103"/>
      <c r="L36" s="103"/>
      <c r="M36" s="104"/>
      <c r="N36" s="116">
        <f>SUM(Taulukko1[[#This Row],[Tapaamis-kerrat /lapsi]]*Taulukko1[[#This Row],[Kesto (min) / tapaaminen]])*Taulukko1[[#This Row],[Tapahtumien määrä]]</f>
        <v>0</v>
      </c>
      <c r="O36" s="105"/>
      <c r="P36" s="106"/>
      <c r="Q36" s="100"/>
      <c r="R36" s="117">
        <f>SUM(Taulukko1[[#This Row],[Kävijämäärä a) lapset]:[Kävijämäärä b) aikuiset]])</f>
        <v>0</v>
      </c>
      <c r="S36" s="117">
        <f t="shared" si="1"/>
        <v>0</v>
      </c>
      <c r="T36" s="101" t="s">
        <v>54</v>
      </c>
      <c r="U36" s="101" t="s">
        <v>54</v>
      </c>
      <c r="V36" s="101" t="s">
        <v>54</v>
      </c>
      <c r="W36" s="101" t="s">
        <v>54</v>
      </c>
      <c r="X36" s="133"/>
    </row>
    <row r="37" spans="1:24" x14ac:dyDescent="0.25">
      <c r="A37" s="100"/>
      <c r="B37" s="100"/>
      <c r="C37" s="101" t="s">
        <v>54</v>
      </c>
      <c r="D37" s="102" t="s">
        <v>54</v>
      </c>
      <c r="E37" s="101" t="s">
        <v>54</v>
      </c>
      <c r="F37" s="102" t="s">
        <v>54</v>
      </c>
      <c r="G37" s="102" t="s">
        <v>54</v>
      </c>
      <c r="H37" s="100"/>
      <c r="I37" s="100"/>
      <c r="J37" s="107"/>
      <c r="K37" s="103"/>
      <c r="L37" s="103"/>
      <c r="M37" s="104"/>
      <c r="N37" s="116">
        <f>SUM(Taulukko1[[#This Row],[Tapaamis-kerrat /lapsi]]*Taulukko1[[#This Row],[Kesto (min) / tapaaminen]])*Taulukko1[[#This Row],[Tapahtumien määrä]]</f>
        <v>0</v>
      </c>
      <c r="O37" s="105"/>
      <c r="P37" s="106"/>
      <c r="Q37" s="100"/>
      <c r="R37" s="117">
        <f>SUM(Taulukko1[[#This Row],[Kävijämäärä a) lapset]:[Kävijämäärä b) aikuiset]])</f>
        <v>0</v>
      </c>
      <c r="S37" s="117">
        <f t="shared" si="1"/>
        <v>0</v>
      </c>
      <c r="T37" s="101" t="s">
        <v>54</v>
      </c>
      <c r="U37" s="101" t="s">
        <v>54</v>
      </c>
      <c r="V37" s="101" t="s">
        <v>54</v>
      </c>
      <c r="W37" s="101" t="s">
        <v>54</v>
      </c>
      <c r="X37" s="133"/>
    </row>
    <row r="38" spans="1:24" x14ac:dyDescent="0.25">
      <c r="A38" s="100"/>
      <c r="B38" s="100"/>
      <c r="C38" s="101" t="s">
        <v>54</v>
      </c>
      <c r="D38" s="102" t="s">
        <v>54</v>
      </c>
      <c r="E38" s="101" t="s">
        <v>54</v>
      </c>
      <c r="F38" s="102" t="s">
        <v>54</v>
      </c>
      <c r="G38" s="102" t="s">
        <v>54</v>
      </c>
      <c r="H38" s="100"/>
      <c r="I38" s="100"/>
      <c r="J38" s="107"/>
      <c r="K38" s="103"/>
      <c r="L38" s="103"/>
      <c r="M38" s="104"/>
      <c r="N38" s="116">
        <f>SUM(Taulukko1[[#This Row],[Tapaamis-kerrat /lapsi]]*Taulukko1[[#This Row],[Kesto (min) / tapaaminen]])*Taulukko1[[#This Row],[Tapahtumien määrä]]</f>
        <v>0</v>
      </c>
      <c r="O38" s="105"/>
      <c r="P38" s="106"/>
      <c r="Q38" s="100"/>
      <c r="R38" s="117">
        <f>SUM(Taulukko1[[#This Row],[Kävijämäärä a) lapset]:[Kävijämäärä b) aikuiset]])</f>
        <v>0</v>
      </c>
      <c r="S38" s="117">
        <f t="shared" si="1"/>
        <v>0</v>
      </c>
      <c r="T38" s="101" t="s">
        <v>54</v>
      </c>
      <c r="U38" s="101" t="s">
        <v>54</v>
      </c>
      <c r="V38" s="101" t="s">
        <v>54</v>
      </c>
      <c r="W38" s="101" t="s">
        <v>54</v>
      </c>
      <c r="X38" s="133"/>
    </row>
    <row r="39" spans="1:24" x14ac:dyDescent="0.25">
      <c r="A39" s="100"/>
      <c r="B39" s="100"/>
      <c r="C39" s="101" t="s">
        <v>54</v>
      </c>
      <c r="D39" s="102" t="s">
        <v>54</v>
      </c>
      <c r="E39" s="101" t="s">
        <v>54</v>
      </c>
      <c r="F39" s="102" t="s">
        <v>54</v>
      </c>
      <c r="G39" s="102" t="s">
        <v>54</v>
      </c>
      <c r="H39" s="100"/>
      <c r="I39" s="100"/>
      <c r="J39" s="107"/>
      <c r="K39" s="103"/>
      <c r="L39" s="103"/>
      <c r="M39" s="104"/>
      <c r="N39" s="116">
        <f>SUM(Taulukko1[[#This Row],[Tapaamis-kerrat /lapsi]]*Taulukko1[[#This Row],[Kesto (min) / tapaaminen]])*Taulukko1[[#This Row],[Tapahtumien määrä]]</f>
        <v>0</v>
      </c>
      <c r="O39" s="105"/>
      <c r="P39" s="106"/>
      <c r="Q39" s="100"/>
      <c r="R39" s="119">
        <f>SUM(Taulukko1[[#This Row],[Kävijämäärä a) lapset]:[Kävijämäärä b) aikuiset]])</f>
        <v>0</v>
      </c>
      <c r="S39" s="119">
        <f t="shared" si="1"/>
        <v>0</v>
      </c>
      <c r="T39" s="101" t="s">
        <v>54</v>
      </c>
      <c r="U39" s="101" t="s">
        <v>54</v>
      </c>
      <c r="V39" s="101" t="s">
        <v>54</v>
      </c>
      <c r="W39" s="101" t="s">
        <v>54</v>
      </c>
      <c r="X39" s="133"/>
    </row>
    <row r="40" spans="1:24" x14ac:dyDescent="0.25">
      <c r="A40" s="100"/>
      <c r="B40" s="100"/>
      <c r="C40" s="101" t="s">
        <v>54</v>
      </c>
      <c r="D40" s="102" t="s">
        <v>54</v>
      </c>
      <c r="E40" s="101" t="s">
        <v>54</v>
      </c>
      <c r="F40" s="102" t="s">
        <v>54</v>
      </c>
      <c r="G40" s="102" t="s">
        <v>54</v>
      </c>
      <c r="H40" s="100"/>
      <c r="I40" s="100"/>
      <c r="J40" s="107"/>
      <c r="K40" s="103"/>
      <c r="L40" s="103"/>
      <c r="M40" s="104"/>
      <c r="N40" s="116">
        <f>SUM(Taulukko1[[#This Row],[Tapaamis-kerrat /lapsi]]*Taulukko1[[#This Row],[Kesto (min) / tapaaminen]])*Taulukko1[[#This Row],[Tapahtumien määrä]]</f>
        <v>0</v>
      </c>
      <c r="O40" s="105"/>
      <c r="P40" s="106"/>
      <c r="Q40" s="100"/>
      <c r="R40" s="117">
        <f>SUM(Taulukko1[[#This Row],[Kävijämäärä a) lapset]:[Kävijämäärä b) aikuiset]])</f>
        <v>0</v>
      </c>
      <c r="S40" s="117">
        <f t="shared" si="1"/>
        <v>0</v>
      </c>
      <c r="T40" s="101" t="s">
        <v>54</v>
      </c>
      <c r="U40" s="101" t="s">
        <v>54</v>
      </c>
      <c r="V40" s="101" t="s">
        <v>54</v>
      </c>
      <c r="W40" s="101" t="s">
        <v>54</v>
      </c>
      <c r="X40" s="133"/>
    </row>
    <row r="41" spans="1:24" x14ac:dyDescent="0.25">
      <c r="A41" s="100"/>
      <c r="B41" s="100"/>
      <c r="C41" s="101" t="s">
        <v>54</v>
      </c>
      <c r="D41" s="102" t="s">
        <v>54</v>
      </c>
      <c r="E41" s="101" t="s">
        <v>54</v>
      </c>
      <c r="F41" s="102" t="s">
        <v>54</v>
      </c>
      <c r="G41" s="102" t="s">
        <v>54</v>
      </c>
      <c r="H41" s="100"/>
      <c r="I41" s="100"/>
      <c r="J41" s="100"/>
      <c r="K41" s="103"/>
      <c r="L41" s="103"/>
      <c r="M41" s="104"/>
      <c r="N41" s="116">
        <f>SUM(Taulukko1[[#This Row],[Tapaamis-kerrat /lapsi]]*Taulukko1[[#This Row],[Kesto (min) / tapaaminen]])*Taulukko1[[#This Row],[Tapahtumien määrä]]</f>
        <v>0</v>
      </c>
      <c r="O41" s="105"/>
      <c r="P41" s="106"/>
      <c r="Q41" s="100"/>
      <c r="R41" s="119">
        <f>SUM(Taulukko1[[#This Row],[Kävijämäärä a) lapset]:[Kävijämäärä b) aikuiset]])</f>
        <v>0</v>
      </c>
      <c r="S41" s="119">
        <f t="shared" si="1"/>
        <v>0</v>
      </c>
      <c r="T41" s="101" t="s">
        <v>54</v>
      </c>
      <c r="U41" s="101" t="s">
        <v>54</v>
      </c>
      <c r="V41" s="101" t="s">
        <v>54</v>
      </c>
      <c r="W41" s="101" t="s">
        <v>54</v>
      </c>
      <c r="X41" s="133"/>
    </row>
    <row r="42" spans="1:24" x14ac:dyDescent="0.25">
      <c r="A42" s="100"/>
      <c r="B42" s="100"/>
      <c r="C42" s="101" t="s">
        <v>54</v>
      </c>
      <c r="D42" s="102" t="s">
        <v>54</v>
      </c>
      <c r="E42" s="101" t="s">
        <v>54</v>
      </c>
      <c r="F42" s="102" t="s">
        <v>54</v>
      </c>
      <c r="G42" s="102" t="s">
        <v>54</v>
      </c>
      <c r="H42" s="100"/>
      <c r="I42" s="100"/>
      <c r="J42" s="100"/>
      <c r="K42" s="103"/>
      <c r="L42" s="103"/>
      <c r="M42" s="104"/>
      <c r="N42" s="116">
        <f>SUM(Taulukko1[[#This Row],[Tapaamis-kerrat /lapsi]]*Taulukko1[[#This Row],[Kesto (min) / tapaaminen]])*Taulukko1[[#This Row],[Tapahtumien määrä]]</f>
        <v>0</v>
      </c>
      <c r="O42" s="105"/>
      <c r="P42" s="106"/>
      <c r="Q42" s="100"/>
      <c r="R42" s="117">
        <f>SUM(Taulukko1[[#This Row],[Kävijämäärä a) lapset]:[Kävijämäärä b) aikuiset]])</f>
        <v>0</v>
      </c>
      <c r="S42" s="117">
        <f t="shared" si="1"/>
        <v>0</v>
      </c>
      <c r="T42" s="101" t="s">
        <v>54</v>
      </c>
      <c r="U42" s="101" t="s">
        <v>54</v>
      </c>
      <c r="V42" s="101" t="s">
        <v>54</v>
      </c>
      <c r="W42" s="101" t="s">
        <v>54</v>
      </c>
      <c r="X42" s="133"/>
    </row>
    <row r="43" spans="1:24" x14ac:dyDescent="0.25">
      <c r="A43" s="100"/>
      <c r="B43" s="100"/>
      <c r="C43" s="101" t="s">
        <v>54</v>
      </c>
      <c r="D43" s="102" t="s">
        <v>54</v>
      </c>
      <c r="E43" s="101" t="s">
        <v>54</v>
      </c>
      <c r="F43" s="102" t="s">
        <v>54</v>
      </c>
      <c r="G43" s="102" t="s">
        <v>54</v>
      </c>
      <c r="H43" s="100"/>
      <c r="I43" s="100"/>
      <c r="J43" s="100"/>
      <c r="K43" s="103"/>
      <c r="L43" s="103"/>
      <c r="M43" s="104"/>
      <c r="N43" s="116">
        <f>SUM(Taulukko1[[#This Row],[Tapaamis-kerrat /lapsi]]*Taulukko1[[#This Row],[Kesto (min) / tapaaminen]])*Taulukko1[[#This Row],[Tapahtumien määrä]]</f>
        <v>0</v>
      </c>
      <c r="O43" s="105"/>
      <c r="P43" s="106"/>
      <c r="Q43" s="100"/>
      <c r="R43" s="117">
        <f>SUM(Taulukko1[[#This Row],[Kävijämäärä a) lapset]:[Kävijämäärä b) aikuiset]])</f>
        <v>0</v>
      </c>
      <c r="S43" s="117">
        <f t="shared" si="1"/>
        <v>0</v>
      </c>
      <c r="T43" s="101" t="s">
        <v>54</v>
      </c>
      <c r="U43" s="101" t="s">
        <v>54</v>
      </c>
      <c r="V43" s="101" t="s">
        <v>54</v>
      </c>
      <c r="W43" s="101" t="s">
        <v>54</v>
      </c>
      <c r="X43" s="133"/>
    </row>
    <row r="44" spans="1:24" x14ac:dyDescent="0.25">
      <c r="A44" s="100"/>
      <c r="B44" s="100"/>
      <c r="C44" s="101" t="s">
        <v>54</v>
      </c>
      <c r="D44" s="102" t="s">
        <v>54</v>
      </c>
      <c r="E44" s="101" t="s">
        <v>54</v>
      </c>
      <c r="F44" s="102" t="s">
        <v>54</v>
      </c>
      <c r="G44" s="102" t="s">
        <v>54</v>
      </c>
      <c r="H44" s="100"/>
      <c r="I44" s="100"/>
      <c r="J44" s="100"/>
      <c r="K44" s="103"/>
      <c r="L44" s="103"/>
      <c r="M44" s="104"/>
      <c r="N44" s="116">
        <f>SUM(Taulukko1[[#This Row],[Tapaamis-kerrat /lapsi]]*Taulukko1[[#This Row],[Kesto (min) / tapaaminen]])*Taulukko1[[#This Row],[Tapahtumien määrä]]</f>
        <v>0</v>
      </c>
      <c r="O44" s="105"/>
      <c r="P44" s="106"/>
      <c r="Q44" s="100"/>
      <c r="R44" s="117">
        <f>SUM(Taulukko1[[#This Row],[Kävijämäärä a) lapset]:[Kävijämäärä b) aikuiset]])</f>
        <v>0</v>
      </c>
      <c r="S44" s="117">
        <f t="shared" si="1"/>
        <v>0</v>
      </c>
      <c r="T44" s="101" t="s">
        <v>54</v>
      </c>
      <c r="U44" s="101" t="s">
        <v>54</v>
      </c>
      <c r="V44" s="101" t="s">
        <v>54</v>
      </c>
      <c r="W44" s="101" t="s">
        <v>54</v>
      </c>
      <c r="X44" s="133"/>
    </row>
    <row r="45" spans="1:24" x14ac:dyDescent="0.25">
      <c r="A45" s="100"/>
      <c r="B45" s="100"/>
      <c r="C45" s="101" t="s">
        <v>54</v>
      </c>
      <c r="D45" s="102" t="s">
        <v>54</v>
      </c>
      <c r="E45" s="101" t="s">
        <v>54</v>
      </c>
      <c r="F45" s="102" t="s">
        <v>54</v>
      </c>
      <c r="G45" s="102" t="s">
        <v>54</v>
      </c>
      <c r="H45" s="100"/>
      <c r="I45" s="100"/>
      <c r="J45" s="100"/>
      <c r="K45" s="103"/>
      <c r="L45" s="103"/>
      <c r="M45" s="104"/>
      <c r="N45" s="116">
        <f>SUM(Taulukko1[[#This Row],[Tapaamis-kerrat /lapsi]]*Taulukko1[[#This Row],[Kesto (min) / tapaaminen]])*Taulukko1[[#This Row],[Tapahtumien määrä]]</f>
        <v>0</v>
      </c>
      <c r="O45" s="105"/>
      <c r="P45" s="106"/>
      <c r="Q45" s="100"/>
      <c r="R45" s="117">
        <f>SUM(Taulukko1[[#This Row],[Kävijämäärä a) lapset]:[Kävijämäärä b) aikuiset]])</f>
        <v>0</v>
      </c>
      <c r="S45" s="117">
        <f t="shared" si="1"/>
        <v>0</v>
      </c>
      <c r="T45" s="101" t="s">
        <v>54</v>
      </c>
      <c r="U45" s="101" t="s">
        <v>54</v>
      </c>
      <c r="V45" s="101" t="s">
        <v>54</v>
      </c>
      <c r="W45" s="101" t="s">
        <v>54</v>
      </c>
      <c r="X45" s="133"/>
    </row>
    <row r="46" spans="1:24" x14ac:dyDescent="0.25">
      <c r="A46" s="100"/>
      <c r="B46" s="100"/>
      <c r="C46" s="101" t="s">
        <v>54</v>
      </c>
      <c r="D46" s="102" t="s">
        <v>54</v>
      </c>
      <c r="E46" s="101" t="s">
        <v>54</v>
      </c>
      <c r="F46" s="102" t="s">
        <v>54</v>
      </c>
      <c r="G46" s="102" t="s">
        <v>54</v>
      </c>
      <c r="H46" s="100"/>
      <c r="I46" s="100"/>
      <c r="J46" s="100"/>
      <c r="K46" s="103"/>
      <c r="L46" s="103"/>
      <c r="M46" s="104"/>
      <c r="N46" s="116">
        <f>SUM(Taulukko1[[#This Row],[Tapaamis-kerrat /lapsi]]*Taulukko1[[#This Row],[Kesto (min) / tapaaminen]])*Taulukko1[[#This Row],[Tapahtumien määrä]]</f>
        <v>0</v>
      </c>
      <c r="O46" s="105"/>
      <c r="P46" s="106"/>
      <c r="Q46" s="100"/>
      <c r="R46" s="117">
        <f>SUM(Taulukko1[[#This Row],[Kävijämäärä a) lapset]:[Kävijämäärä b) aikuiset]])</f>
        <v>0</v>
      </c>
      <c r="S46" s="117">
        <f t="shared" si="1"/>
        <v>0</v>
      </c>
      <c r="T46" s="101" t="s">
        <v>54</v>
      </c>
      <c r="U46" s="101" t="s">
        <v>54</v>
      </c>
      <c r="V46" s="101" t="s">
        <v>54</v>
      </c>
      <c r="W46" s="101" t="s">
        <v>54</v>
      </c>
      <c r="X46" s="133"/>
    </row>
    <row r="47" spans="1:24" x14ac:dyDescent="0.25">
      <c r="A47" s="100"/>
      <c r="B47" s="100"/>
      <c r="C47" s="101" t="s">
        <v>54</v>
      </c>
      <c r="D47" s="102" t="s">
        <v>54</v>
      </c>
      <c r="E47" s="101" t="s">
        <v>54</v>
      </c>
      <c r="F47" s="102" t="s">
        <v>54</v>
      </c>
      <c r="G47" s="102" t="s">
        <v>54</v>
      </c>
      <c r="H47" s="100"/>
      <c r="I47" s="100"/>
      <c r="J47" s="100"/>
      <c r="K47" s="103"/>
      <c r="L47" s="103"/>
      <c r="M47" s="104"/>
      <c r="N47" s="116">
        <f>SUM(Taulukko1[[#This Row],[Tapaamis-kerrat /lapsi]]*Taulukko1[[#This Row],[Kesto (min) / tapaaminen]])*Taulukko1[[#This Row],[Tapahtumien määrä]]</f>
        <v>0</v>
      </c>
      <c r="O47" s="105"/>
      <c r="P47" s="106"/>
      <c r="Q47" s="100"/>
      <c r="R47" s="117">
        <f>SUM(Taulukko1[[#This Row],[Kävijämäärä a) lapset]:[Kävijämäärä b) aikuiset]])</f>
        <v>0</v>
      </c>
      <c r="S47" s="117">
        <f t="shared" si="1"/>
        <v>0</v>
      </c>
      <c r="T47" s="101" t="s">
        <v>54</v>
      </c>
      <c r="U47" s="101" t="s">
        <v>54</v>
      </c>
      <c r="V47" s="101" t="s">
        <v>54</v>
      </c>
      <c r="W47" s="101" t="s">
        <v>54</v>
      </c>
      <c r="X47" s="133"/>
    </row>
    <row r="48" spans="1:24" x14ac:dyDescent="0.25">
      <c r="A48" s="100"/>
      <c r="B48" s="100"/>
      <c r="C48" s="101" t="s">
        <v>54</v>
      </c>
      <c r="D48" s="102" t="s">
        <v>54</v>
      </c>
      <c r="E48" s="101" t="s">
        <v>54</v>
      </c>
      <c r="F48" s="102" t="s">
        <v>54</v>
      </c>
      <c r="G48" s="102" t="s">
        <v>54</v>
      </c>
      <c r="H48" s="100"/>
      <c r="I48" s="100"/>
      <c r="J48" s="100"/>
      <c r="K48" s="103"/>
      <c r="L48" s="103"/>
      <c r="M48" s="104"/>
      <c r="N48" s="116">
        <f>SUM(Taulukko1[[#This Row],[Tapaamis-kerrat /lapsi]]*Taulukko1[[#This Row],[Kesto (min) / tapaaminen]])*Taulukko1[[#This Row],[Tapahtumien määrä]]</f>
        <v>0</v>
      </c>
      <c r="O48" s="105"/>
      <c r="P48" s="106"/>
      <c r="Q48" s="100"/>
      <c r="R48" s="117">
        <f>SUM(Taulukko1[[#This Row],[Kävijämäärä a) lapset]:[Kävijämäärä b) aikuiset]])</f>
        <v>0</v>
      </c>
      <c r="S48" s="117">
        <f t="shared" si="1"/>
        <v>0</v>
      </c>
      <c r="T48" s="101" t="s">
        <v>54</v>
      </c>
      <c r="U48" s="101" t="s">
        <v>54</v>
      </c>
      <c r="V48" s="101" t="s">
        <v>54</v>
      </c>
      <c r="W48" s="101" t="s">
        <v>54</v>
      </c>
      <c r="X48" s="133"/>
    </row>
    <row r="49" spans="1:24" x14ac:dyDescent="0.25">
      <c r="A49" s="100"/>
      <c r="B49" s="100"/>
      <c r="C49" s="101" t="s">
        <v>54</v>
      </c>
      <c r="D49" s="102" t="s">
        <v>54</v>
      </c>
      <c r="E49" s="101" t="s">
        <v>54</v>
      </c>
      <c r="F49" s="102" t="s">
        <v>54</v>
      </c>
      <c r="G49" s="102" t="s">
        <v>54</v>
      </c>
      <c r="H49" s="100"/>
      <c r="I49" s="100"/>
      <c r="J49" s="100"/>
      <c r="K49" s="103"/>
      <c r="L49" s="103"/>
      <c r="M49" s="104"/>
      <c r="N49" s="116">
        <f>SUM(Taulukko1[[#This Row],[Tapaamis-kerrat /lapsi]]*Taulukko1[[#This Row],[Kesto (min) / tapaaminen]])*Taulukko1[[#This Row],[Tapahtumien määrä]]</f>
        <v>0</v>
      </c>
      <c r="O49" s="105"/>
      <c r="P49" s="106"/>
      <c r="Q49" s="100"/>
      <c r="R49" s="117">
        <f>SUM(Taulukko1[[#This Row],[Kävijämäärä a) lapset]:[Kävijämäärä b) aikuiset]])</f>
        <v>0</v>
      </c>
      <c r="S49" s="117">
        <f t="shared" si="1"/>
        <v>0</v>
      </c>
      <c r="T49" s="101" t="s">
        <v>54</v>
      </c>
      <c r="U49" s="101" t="s">
        <v>54</v>
      </c>
      <c r="V49" s="101" t="s">
        <v>54</v>
      </c>
      <c r="W49" s="101" t="s">
        <v>54</v>
      </c>
      <c r="X49" s="133"/>
    </row>
    <row r="50" spans="1:24" x14ac:dyDescent="0.25">
      <c r="A50" s="100"/>
      <c r="B50" s="100"/>
      <c r="C50" s="101" t="s">
        <v>54</v>
      </c>
      <c r="D50" s="102" t="s">
        <v>54</v>
      </c>
      <c r="E50" s="101" t="s">
        <v>54</v>
      </c>
      <c r="F50" s="102" t="s">
        <v>54</v>
      </c>
      <c r="G50" s="102" t="s">
        <v>54</v>
      </c>
      <c r="H50" s="100"/>
      <c r="I50" s="100"/>
      <c r="J50" s="100"/>
      <c r="K50" s="103"/>
      <c r="L50" s="103"/>
      <c r="M50" s="104"/>
      <c r="N50" s="116">
        <f>SUM(Taulukko1[[#This Row],[Tapaamis-kerrat /lapsi]]*Taulukko1[[#This Row],[Kesto (min) / tapaaminen]])*Taulukko1[[#This Row],[Tapahtumien määrä]]</f>
        <v>0</v>
      </c>
      <c r="O50" s="105"/>
      <c r="P50" s="106"/>
      <c r="Q50" s="100"/>
      <c r="R50" s="117">
        <f>SUM(Taulukko1[[#This Row],[Kävijämäärä a) lapset]:[Kävijämäärä b) aikuiset]])</f>
        <v>0</v>
      </c>
      <c r="S50" s="117">
        <f t="shared" si="1"/>
        <v>0</v>
      </c>
      <c r="T50" s="101" t="s">
        <v>54</v>
      </c>
      <c r="U50" s="101" t="s">
        <v>54</v>
      </c>
      <c r="V50" s="101" t="s">
        <v>54</v>
      </c>
      <c r="W50" s="101" t="s">
        <v>54</v>
      </c>
      <c r="X50" s="133"/>
    </row>
    <row r="51" spans="1:24" x14ac:dyDescent="0.25">
      <c r="A51" s="100"/>
      <c r="B51" s="100"/>
      <c r="C51" s="101" t="s">
        <v>54</v>
      </c>
      <c r="D51" s="102" t="s">
        <v>54</v>
      </c>
      <c r="E51" s="101" t="s">
        <v>54</v>
      </c>
      <c r="F51" s="102" t="s">
        <v>54</v>
      </c>
      <c r="G51" s="102" t="s">
        <v>54</v>
      </c>
      <c r="H51" s="100"/>
      <c r="I51" s="100"/>
      <c r="J51" s="100"/>
      <c r="K51" s="103"/>
      <c r="L51" s="103"/>
      <c r="M51" s="104"/>
      <c r="N51" s="116">
        <f>SUM(Taulukko1[[#This Row],[Tapaamis-kerrat /lapsi]]*Taulukko1[[#This Row],[Kesto (min) / tapaaminen]])*Taulukko1[[#This Row],[Tapahtumien määrä]]</f>
        <v>0</v>
      </c>
      <c r="O51" s="105"/>
      <c r="P51" s="106"/>
      <c r="Q51" s="100"/>
      <c r="R51" s="120">
        <f>SUM(Taulukko1[[#This Row],[Kävijämäärä a) lapset]:[Kävijämäärä b) aikuiset]])</f>
        <v>0</v>
      </c>
      <c r="S51" s="120">
        <f t="shared" si="1"/>
        <v>0</v>
      </c>
      <c r="T51" s="101" t="s">
        <v>54</v>
      </c>
      <c r="U51" s="101" t="s">
        <v>54</v>
      </c>
      <c r="V51" s="101" t="s">
        <v>54</v>
      </c>
      <c r="W51" s="101" t="s">
        <v>54</v>
      </c>
      <c r="X51" s="133"/>
    </row>
    <row r="52" spans="1:24" x14ac:dyDescent="0.25">
      <c r="A52" s="100"/>
      <c r="B52" s="100"/>
      <c r="C52" s="101" t="s">
        <v>54</v>
      </c>
      <c r="D52" s="102" t="s">
        <v>54</v>
      </c>
      <c r="E52" s="101" t="s">
        <v>54</v>
      </c>
      <c r="F52" s="102" t="s">
        <v>54</v>
      </c>
      <c r="G52" s="102" t="s">
        <v>54</v>
      </c>
      <c r="H52" s="100"/>
      <c r="I52" s="100"/>
      <c r="J52" s="100"/>
      <c r="K52" s="103"/>
      <c r="L52" s="103"/>
      <c r="M52" s="104"/>
      <c r="N52" s="116">
        <f>SUM(Taulukko1[[#This Row],[Tapaamis-kerrat /lapsi]]*Taulukko1[[#This Row],[Kesto (min) / tapaaminen]])*Taulukko1[[#This Row],[Tapahtumien määrä]]</f>
        <v>0</v>
      </c>
      <c r="O52" s="105"/>
      <c r="P52" s="106"/>
      <c r="Q52" s="100"/>
      <c r="R52" s="117">
        <f>SUM(Taulukko1[[#This Row],[Kävijämäärä a) lapset]:[Kävijämäärä b) aikuiset]])</f>
        <v>0</v>
      </c>
      <c r="S52" s="117">
        <f t="shared" si="1"/>
        <v>0</v>
      </c>
      <c r="T52" s="101" t="s">
        <v>54</v>
      </c>
      <c r="U52" s="101" t="s">
        <v>54</v>
      </c>
      <c r="V52" s="101" t="s">
        <v>54</v>
      </c>
      <c r="W52" s="101" t="s">
        <v>54</v>
      </c>
      <c r="X52" s="133"/>
    </row>
    <row r="53" spans="1:24" x14ac:dyDescent="0.25">
      <c r="A53" s="100"/>
      <c r="B53" s="100"/>
      <c r="C53" s="101" t="s">
        <v>54</v>
      </c>
      <c r="D53" s="102" t="s">
        <v>54</v>
      </c>
      <c r="E53" s="101" t="s">
        <v>54</v>
      </c>
      <c r="F53" s="102" t="s">
        <v>54</v>
      </c>
      <c r="G53" s="102" t="s">
        <v>54</v>
      </c>
      <c r="H53" s="100"/>
      <c r="I53" s="100"/>
      <c r="J53" s="100"/>
      <c r="K53" s="103"/>
      <c r="L53" s="103"/>
      <c r="M53" s="104"/>
      <c r="N53" s="116">
        <f>SUM(Taulukko1[[#This Row],[Tapaamis-kerrat /lapsi]]*Taulukko1[[#This Row],[Kesto (min) / tapaaminen]])*Taulukko1[[#This Row],[Tapahtumien määrä]]</f>
        <v>0</v>
      </c>
      <c r="O53" s="105"/>
      <c r="P53" s="106"/>
      <c r="Q53" s="100"/>
      <c r="R53" s="117">
        <f>SUM(Taulukko1[[#This Row],[Kävijämäärä a) lapset]:[Kävijämäärä b) aikuiset]])</f>
        <v>0</v>
      </c>
      <c r="S53" s="117">
        <f t="shared" si="1"/>
        <v>0</v>
      </c>
      <c r="T53" s="101" t="s">
        <v>54</v>
      </c>
      <c r="U53" s="101" t="s">
        <v>54</v>
      </c>
      <c r="V53" s="101" t="s">
        <v>54</v>
      </c>
      <c r="W53" s="101" t="s">
        <v>54</v>
      </c>
      <c r="X53" s="133"/>
    </row>
    <row r="54" spans="1:24" x14ac:dyDescent="0.25">
      <c r="A54" s="100"/>
      <c r="B54" s="100"/>
      <c r="C54" s="101" t="s">
        <v>54</v>
      </c>
      <c r="D54" s="102" t="s">
        <v>54</v>
      </c>
      <c r="E54" s="101" t="s">
        <v>54</v>
      </c>
      <c r="F54" s="102" t="s">
        <v>54</v>
      </c>
      <c r="G54" s="102" t="s">
        <v>54</v>
      </c>
      <c r="H54" s="100"/>
      <c r="I54" s="100"/>
      <c r="J54" s="100"/>
      <c r="K54" s="103"/>
      <c r="L54" s="103"/>
      <c r="M54" s="104"/>
      <c r="N54" s="116">
        <f>SUM(Taulukko1[[#This Row],[Tapaamis-kerrat /lapsi]]*Taulukko1[[#This Row],[Kesto (min) / tapaaminen]])*Taulukko1[[#This Row],[Tapahtumien määrä]]</f>
        <v>0</v>
      </c>
      <c r="O54" s="105"/>
      <c r="P54" s="106"/>
      <c r="Q54" s="100"/>
      <c r="R54" s="121">
        <f>SUM(Taulukko1[[#This Row],[Kävijämäärä a) lapset]:[Kävijämäärä b) aikuiset]])</f>
        <v>0</v>
      </c>
      <c r="S54" s="121">
        <f t="shared" si="1"/>
        <v>0</v>
      </c>
      <c r="T54" s="101" t="s">
        <v>54</v>
      </c>
      <c r="U54" s="101" t="s">
        <v>54</v>
      </c>
      <c r="V54" s="101" t="s">
        <v>54</v>
      </c>
      <c r="W54" s="101" t="s">
        <v>54</v>
      </c>
      <c r="X54" s="133"/>
    </row>
    <row r="55" spans="1:24" x14ac:dyDescent="0.25">
      <c r="A55" s="100"/>
      <c r="B55" s="100"/>
      <c r="C55" s="101" t="s">
        <v>54</v>
      </c>
      <c r="D55" s="102" t="s">
        <v>54</v>
      </c>
      <c r="E55" s="101" t="s">
        <v>54</v>
      </c>
      <c r="F55" s="102" t="s">
        <v>54</v>
      </c>
      <c r="G55" s="102" t="s">
        <v>54</v>
      </c>
      <c r="H55" s="100"/>
      <c r="I55" s="100"/>
      <c r="J55" s="100"/>
      <c r="K55" s="103"/>
      <c r="L55" s="103"/>
      <c r="M55" s="104"/>
      <c r="N55" s="116">
        <f>SUM(Taulukko1[[#This Row],[Tapaamis-kerrat /lapsi]]*Taulukko1[[#This Row],[Kesto (min) / tapaaminen]])*Taulukko1[[#This Row],[Tapahtumien määrä]]</f>
        <v>0</v>
      </c>
      <c r="O55" s="105"/>
      <c r="P55" s="106"/>
      <c r="Q55" s="100"/>
      <c r="R55" s="117">
        <f>SUM(Taulukko1[[#This Row],[Kävijämäärä a) lapset]:[Kävijämäärä b) aikuiset]])</f>
        <v>0</v>
      </c>
      <c r="S55" s="117">
        <f t="shared" si="1"/>
        <v>0</v>
      </c>
      <c r="T55" s="101" t="s">
        <v>54</v>
      </c>
      <c r="U55" s="101" t="s">
        <v>54</v>
      </c>
      <c r="V55" s="101" t="s">
        <v>54</v>
      </c>
      <c r="W55" s="101" t="s">
        <v>54</v>
      </c>
      <c r="X55" s="133"/>
    </row>
    <row r="56" spans="1:24" x14ac:dyDescent="0.25">
      <c r="A56" s="100"/>
      <c r="B56" s="100"/>
      <c r="C56" s="101" t="s">
        <v>54</v>
      </c>
      <c r="D56" s="102" t="s">
        <v>54</v>
      </c>
      <c r="E56" s="101" t="s">
        <v>54</v>
      </c>
      <c r="F56" s="102" t="s">
        <v>54</v>
      </c>
      <c r="G56" s="102" t="s">
        <v>54</v>
      </c>
      <c r="H56" s="107"/>
      <c r="I56" s="100"/>
      <c r="J56" s="100"/>
      <c r="K56" s="103"/>
      <c r="L56" s="103"/>
      <c r="M56" s="104"/>
      <c r="N56" s="116">
        <f>SUM(Taulukko1[[#This Row],[Tapaamis-kerrat /lapsi]]*Taulukko1[[#This Row],[Kesto (min) / tapaaminen]])*Taulukko1[[#This Row],[Tapahtumien määrä]]</f>
        <v>0</v>
      </c>
      <c r="O56" s="105"/>
      <c r="P56" s="106"/>
      <c r="Q56" s="100"/>
      <c r="R56" s="119">
        <f>SUM(Taulukko1[[#This Row],[Kävijämäärä a) lapset]:[Kävijämäärä b) aikuiset]])</f>
        <v>0</v>
      </c>
      <c r="S56" s="119">
        <f t="shared" si="1"/>
        <v>0</v>
      </c>
      <c r="T56" s="101" t="s">
        <v>54</v>
      </c>
      <c r="U56" s="101" t="s">
        <v>54</v>
      </c>
      <c r="V56" s="101" t="s">
        <v>54</v>
      </c>
      <c r="W56" s="101" t="s">
        <v>54</v>
      </c>
      <c r="X56" s="133"/>
    </row>
    <row r="57" spans="1:24" x14ac:dyDescent="0.25">
      <c r="A57" s="100"/>
      <c r="B57" s="100"/>
      <c r="C57" s="101" t="s">
        <v>54</v>
      </c>
      <c r="D57" s="102" t="s">
        <v>54</v>
      </c>
      <c r="E57" s="101" t="s">
        <v>54</v>
      </c>
      <c r="F57" s="102" t="s">
        <v>54</v>
      </c>
      <c r="G57" s="102" t="s">
        <v>54</v>
      </c>
      <c r="H57" s="107"/>
      <c r="I57" s="100"/>
      <c r="J57" s="100"/>
      <c r="K57" s="103"/>
      <c r="L57" s="103"/>
      <c r="M57" s="104"/>
      <c r="N57" s="116">
        <f>SUM(Taulukko1[[#This Row],[Tapaamis-kerrat /lapsi]]*Taulukko1[[#This Row],[Kesto (min) / tapaaminen]])*Taulukko1[[#This Row],[Tapahtumien määrä]]</f>
        <v>0</v>
      </c>
      <c r="O57" s="105"/>
      <c r="P57" s="106"/>
      <c r="Q57" s="100"/>
      <c r="R57" s="119">
        <f>SUM(Taulukko1[[#This Row],[Kävijämäärä a) lapset]:[Kävijämäärä b) aikuiset]])</f>
        <v>0</v>
      </c>
      <c r="S57" s="119">
        <f t="shared" si="1"/>
        <v>0</v>
      </c>
      <c r="T57" s="101" t="s">
        <v>54</v>
      </c>
      <c r="U57" s="101" t="s">
        <v>54</v>
      </c>
      <c r="V57" s="101" t="s">
        <v>54</v>
      </c>
      <c r="W57" s="101" t="s">
        <v>54</v>
      </c>
      <c r="X57" s="133"/>
    </row>
    <row r="58" spans="1:24" x14ac:dyDescent="0.25">
      <c r="A58" s="100"/>
      <c r="B58" s="100"/>
      <c r="C58" s="101" t="s">
        <v>54</v>
      </c>
      <c r="D58" s="102" t="s">
        <v>54</v>
      </c>
      <c r="E58" s="101" t="s">
        <v>54</v>
      </c>
      <c r="F58" s="102" t="s">
        <v>54</v>
      </c>
      <c r="G58" s="102" t="s">
        <v>54</v>
      </c>
      <c r="H58" s="107"/>
      <c r="I58" s="100"/>
      <c r="J58" s="100"/>
      <c r="K58" s="103"/>
      <c r="L58" s="103"/>
      <c r="M58" s="104"/>
      <c r="N58" s="116">
        <f>SUM(Taulukko1[[#This Row],[Tapaamis-kerrat /lapsi]]*Taulukko1[[#This Row],[Kesto (min) / tapaaminen]])*Taulukko1[[#This Row],[Tapahtumien määrä]]</f>
        <v>0</v>
      </c>
      <c r="O58" s="105"/>
      <c r="P58" s="106"/>
      <c r="Q58" s="100"/>
      <c r="R58" s="117">
        <f>SUM(Taulukko1[[#This Row],[Kävijämäärä a) lapset]:[Kävijämäärä b) aikuiset]])</f>
        <v>0</v>
      </c>
      <c r="S58" s="117">
        <f t="shared" si="1"/>
        <v>0</v>
      </c>
      <c r="T58" s="101" t="s">
        <v>54</v>
      </c>
      <c r="U58" s="101" t="s">
        <v>54</v>
      </c>
      <c r="V58" s="101" t="s">
        <v>54</v>
      </c>
      <c r="W58" s="101" t="s">
        <v>54</v>
      </c>
      <c r="X58" s="133"/>
    </row>
    <row r="59" spans="1:24" x14ac:dyDescent="0.25">
      <c r="A59" s="100"/>
      <c r="B59" s="100"/>
      <c r="C59" s="101" t="s">
        <v>54</v>
      </c>
      <c r="D59" s="102" t="s">
        <v>54</v>
      </c>
      <c r="E59" s="101" t="s">
        <v>54</v>
      </c>
      <c r="F59" s="102" t="s">
        <v>54</v>
      </c>
      <c r="G59" s="102" t="s">
        <v>54</v>
      </c>
      <c r="H59" s="107"/>
      <c r="I59" s="100"/>
      <c r="J59" s="100"/>
      <c r="K59" s="103"/>
      <c r="L59" s="103"/>
      <c r="M59" s="104"/>
      <c r="N59" s="116">
        <f>SUM(Taulukko1[[#This Row],[Tapaamis-kerrat /lapsi]]*Taulukko1[[#This Row],[Kesto (min) / tapaaminen]])*Taulukko1[[#This Row],[Tapahtumien määrä]]</f>
        <v>0</v>
      </c>
      <c r="O59" s="105"/>
      <c r="P59" s="106"/>
      <c r="Q59" s="100"/>
      <c r="R59" s="117">
        <f>SUM(Taulukko1[[#This Row],[Kävijämäärä a) lapset]:[Kävijämäärä b) aikuiset]])</f>
        <v>0</v>
      </c>
      <c r="S59" s="117">
        <f t="shared" si="1"/>
        <v>0</v>
      </c>
      <c r="T59" s="101" t="s">
        <v>54</v>
      </c>
      <c r="U59" s="101" t="s">
        <v>54</v>
      </c>
      <c r="V59" s="101" t="s">
        <v>54</v>
      </c>
      <c r="W59" s="101" t="s">
        <v>54</v>
      </c>
      <c r="X59" s="133"/>
    </row>
    <row r="60" spans="1:24" x14ac:dyDescent="0.25">
      <c r="A60" s="100"/>
      <c r="B60" s="100"/>
      <c r="C60" s="101" t="s">
        <v>54</v>
      </c>
      <c r="D60" s="102" t="s">
        <v>54</v>
      </c>
      <c r="E60" s="101" t="s">
        <v>54</v>
      </c>
      <c r="F60" s="102" t="s">
        <v>54</v>
      </c>
      <c r="G60" s="102" t="s">
        <v>54</v>
      </c>
      <c r="H60" s="107"/>
      <c r="I60" s="100"/>
      <c r="J60" s="100"/>
      <c r="K60" s="103"/>
      <c r="L60" s="103"/>
      <c r="M60" s="104"/>
      <c r="N60" s="116">
        <f>SUM(Taulukko1[[#This Row],[Tapaamis-kerrat /lapsi]]*Taulukko1[[#This Row],[Kesto (min) / tapaaminen]])*Taulukko1[[#This Row],[Tapahtumien määrä]]</f>
        <v>0</v>
      </c>
      <c r="O60" s="105"/>
      <c r="P60" s="106"/>
      <c r="Q60" s="100"/>
      <c r="R60" s="117">
        <f>SUM(Taulukko1[[#This Row],[Kävijämäärä a) lapset]:[Kävijämäärä b) aikuiset]])</f>
        <v>0</v>
      </c>
      <c r="S60" s="117">
        <f t="shared" si="1"/>
        <v>0</v>
      </c>
      <c r="T60" s="101" t="s">
        <v>54</v>
      </c>
      <c r="U60" s="101" t="s">
        <v>54</v>
      </c>
      <c r="V60" s="101" t="s">
        <v>54</v>
      </c>
      <c r="W60" s="101" t="s">
        <v>54</v>
      </c>
      <c r="X60" s="133"/>
    </row>
    <row r="61" spans="1:24" x14ac:dyDescent="0.25">
      <c r="A61" s="100"/>
      <c r="B61" s="100"/>
      <c r="C61" s="101" t="s">
        <v>54</v>
      </c>
      <c r="D61" s="102" t="s">
        <v>54</v>
      </c>
      <c r="E61" s="101" t="s">
        <v>54</v>
      </c>
      <c r="F61" s="102" t="s">
        <v>54</v>
      </c>
      <c r="G61" s="102" t="s">
        <v>54</v>
      </c>
      <c r="H61" s="107"/>
      <c r="I61" s="100"/>
      <c r="J61" s="100"/>
      <c r="K61" s="103"/>
      <c r="L61" s="103"/>
      <c r="M61" s="104"/>
      <c r="N61" s="116">
        <f>SUM(Taulukko1[[#This Row],[Tapaamis-kerrat /lapsi]]*Taulukko1[[#This Row],[Kesto (min) / tapaaminen]])*Taulukko1[[#This Row],[Tapahtumien määrä]]</f>
        <v>0</v>
      </c>
      <c r="O61" s="105"/>
      <c r="P61" s="106"/>
      <c r="Q61" s="100"/>
      <c r="R61" s="117">
        <f>SUM(Taulukko1[[#This Row],[Kävijämäärä a) lapset]:[Kävijämäärä b) aikuiset]])</f>
        <v>0</v>
      </c>
      <c r="S61" s="117">
        <f t="shared" si="1"/>
        <v>0</v>
      </c>
      <c r="T61" s="101" t="s">
        <v>54</v>
      </c>
      <c r="U61" s="101" t="s">
        <v>54</v>
      </c>
      <c r="V61" s="101" t="s">
        <v>54</v>
      </c>
      <c r="W61" s="101" t="s">
        <v>54</v>
      </c>
      <c r="X61" s="133"/>
    </row>
    <row r="62" spans="1:24" x14ac:dyDescent="0.25">
      <c r="A62" s="100"/>
      <c r="B62" s="100"/>
      <c r="C62" s="101" t="s">
        <v>54</v>
      </c>
      <c r="D62" s="102" t="s">
        <v>54</v>
      </c>
      <c r="E62" s="101" t="s">
        <v>54</v>
      </c>
      <c r="F62" s="102" t="s">
        <v>54</v>
      </c>
      <c r="G62" s="102" t="s">
        <v>54</v>
      </c>
      <c r="H62" s="107"/>
      <c r="I62" s="100"/>
      <c r="J62" s="100"/>
      <c r="K62" s="103"/>
      <c r="L62" s="103"/>
      <c r="M62" s="104"/>
      <c r="N62" s="116">
        <f>SUM(Taulukko1[[#This Row],[Tapaamis-kerrat /lapsi]]*Taulukko1[[#This Row],[Kesto (min) / tapaaminen]])*Taulukko1[[#This Row],[Tapahtumien määrä]]</f>
        <v>0</v>
      </c>
      <c r="O62" s="105"/>
      <c r="P62" s="106"/>
      <c r="Q62" s="100"/>
      <c r="R62" s="117">
        <f>SUM(Taulukko1[[#This Row],[Kävijämäärä a) lapset]:[Kävijämäärä b) aikuiset]])</f>
        <v>0</v>
      </c>
      <c r="S62" s="117">
        <f t="shared" si="1"/>
        <v>0</v>
      </c>
      <c r="T62" s="101" t="s">
        <v>54</v>
      </c>
      <c r="U62" s="101" t="s">
        <v>54</v>
      </c>
      <c r="V62" s="101" t="s">
        <v>54</v>
      </c>
      <c r="W62" s="101" t="s">
        <v>54</v>
      </c>
      <c r="X62" s="133"/>
    </row>
    <row r="63" spans="1:24" x14ac:dyDescent="0.25">
      <c r="A63" s="100"/>
      <c r="B63" s="100"/>
      <c r="C63" s="101" t="s">
        <v>54</v>
      </c>
      <c r="D63" s="102" t="s">
        <v>54</v>
      </c>
      <c r="E63" s="101" t="s">
        <v>54</v>
      </c>
      <c r="F63" s="102" t="s">
        <v>54</v>
      </c>
      <c r="G63" s="102" t="s">
        <v>54</v>
      </c>
      <c r="H63" s="107"/>
      <c r="I63" s="100"/>
      <c r="J63" s="100"/>
      <c r="K63" s="103"/>
      <c r="L63" s="103"/>
      <c r="M63" s="104"/>
      <c r="N63" s="116">
        <f>SUM(Taulukko1[[#This Row],[Tapaamis-kerrat /lapsi]]*Taulukko1[[#This Row],[Kesto (min) / tapaaminen]])*Taulukko1[[#This Row],[Tapahtumien määrä]]</f>
        <v>0</v>
      </c>
      <c r="O63" s="105"/>
      <c r="P63" s="106"/>
      <c r="Q63" s="100"/>
      <c r="R63" s="117">
        <f>SUM(Taulukko1[[#This Row],[Kävijämäärä a) lapset]:[Kävijämäärä b) aikuiset]])</f>
        <v>0</v>
      </c>
      <c r="S63" s="117">
        <f t="shared" si="1"/>
        <v>0</v>
      </c>
      <c r="T63" s="101" t="s">
        <v>54</v>
      </c>
      <c r="U63" s="101" t="s">
        <v>54</v>
      </c>
      <c r="V63" s="101" t="s">
        <v>54</v>
      </c>
      <c r="W63" s="101" t="s">
        <v>54</v>
      </c>
      <c r="X63" s="133"/>
    </row>
    <row r="64" spans="1:24" x14ac:dyDescent="0.25">
      <c r="A64" s="100"/>
      <c r="B64" s="100"/>
      <c r="C64" s="101" t="s">
        <v>54</v>
      </c>
      <c r="D64" s="102" t="s">
        <v>54</v>
      </c>
      <c r="E64" s="101" t="s">
        <v>54</v>
      </c>
      <c r="F64" s="102" t="s">
        <v>54</v>
      </c>
      <c r="G64" s="102" t="s">
        <v>54</v>
      </c>
      <c r="H64" s="107"/>
      <c r="I64" s="100"/>
      <c r="J64" s="100"/>
      <c r="K64" s="103"/>
      <c r="L64" s="103"/>
      <c r="M64" s="104"/>
      <c r="N64" s="116">
        <f>SUM(Taulukko1[[#This Row],[Tapaamis-kerrat /lapsi]]*Taulukko1[[#This Row],[Kesto (min) / tapaaminen]])*Taulukko1[[#This Row],[Tapahtumien määrä]]</f>
        <v>0</v>
      </c>
      <c r="O64" s="105"/>
      <c r="P64" s="106"/>
      <c r="Q64" s="100"/>
      <c r="R64" s="117">
        <f>SUM(Taulukko1[[#This Row],[Kävijämäärä a) lapset]:[Kävijämäärä b) aikuiset]])</f>
        <v>0</v>
      </c>
      <c r="S64" s="117">
        <f t="shared" si="1"/>
        <v>0</v>
      </c>
      <c r="T64" s="101" t="s">
        <v>54</v>
      </c>
      <c r="U64" s="101" t="s">
        <v>54</v>
      </c>
      <c r="V64" s="101" t="s">
        <v>54</v>
      </c>
      <c r="W64" s="101" t="s">
        <v>54</v>
      </c>
      <c r="X64" s="133"/>
    </row>
    <row r="65" spans="1:24" x14ac:dyDescent="0.25">
      <c r="A65" s="100"/>
      <c r="B65" s="100"/>
      <c r="C65" s="101" t="s">
        <v>54</v>
      </c>
      <c r="D65" s="102" t="s">
        <v>54</v>
      </c>
      <c r="E65" s="101" t="s">
        <v>54</v>
      </c>
      <c r="F65" s="102" t="s">
        <v>54</v>
      </c>
      <c r="G65" s="102" t="s">
        <v>54</v>
      </c>
      <c r="H65" s="107"/>
      <c r="I65" s="100"/>
      <c r="J65" s="100"/>
      <c r="K65" s="103"/>
      <c r="L65" s="103"/>
      <c r="M65" s="104"/>
      <c r="N65" s="116">
        <f>SUM(Taulukko1[[#This Row],[Tapaamis-kerrat /lapsi]]*Taulukko1[[#This Row],[Kesto (min) / tapaaminen]])*Taulukko1[[#This Row],[Tapahtumien määrä]]</f>
        <v>0</v>
      </c>
      <c r="O65" s="105"/>
      <c r="P65" s="106"/>
      <c r="Q65" s="100"/>
      <c r="R65" s="117">
        <f>SUM(Taulukko1[[#This Row],[Kävijämäärä a) lapset]:[Kävijämäärä b) aikuiset]])</f>
        <v>0</v>
      </c>
      <c r="S65" s="117">
        <f t="shared" si="1"/>
        <v>0</v>
      </c>
      <c r="T65" s="101" t="s">
        <v>54</v>
      </c>
      <c r="U65" s="101" t="s">
        <v>54</v>
      </c>
      <c r="V65" s="101" t="s">
        <v>54</v>
      </c>
      <c r="W65" s="101" t="s">
        <v>54</v>
      </c>
      <c r="X65" s="133"/>
    </row>
    <row r="66" spans="1:24" x14ac:dyDescent="0.25">
      <c r="A66" s="100"/>
      <c r="B66" s="100"/>
      <c r="C66" s="101" t="s">
        <v>54</v>
      </c>
      <c r="D66" s="102" t="s">
        <v>54</v>
      </c>
      <c r="E66" s="101" t="s">
        <v>54</v>
      </c>
      <c r="F66" s="102" t="s">
        <v>54</v>
      </c>
      <c r="G66" s="102" t="s">
        <v>54</v>
      </c>
      <c r="H66" s="107"/>
      <c r="I66" s="100"/>
      <c r="J66" s="100"/>
      <c r="K66" s="103"/>
      <c r="L66" s="103"/>
      <c r="M66" s="104"/>
      <c r="N66" s="116">
        <f>SUM(Taulukko1[[#This Row],[Tapaamis-kerrat /lapsi]]*Taulukko1[[#This Row],[Kesto (min) / tapaaminen]])*Taulukko1[[#This Row],[Tapahtumien määrä]]</f>
        <v>0</v>
      </c>
      <c r="O66" s="105"/>
      <c r="P66" s="106"/>
      <c r="Q66" s="100"/>
      <c r="R66" s="117">
        <f>SUM(Taulukko1[[#This Row],[Kävijämäärä a) lapset]:[Kävijämäärä b) aikuiset]])</f>
        <v>0</v>
      </c>
      <c r="S66" s="117">
        <f t="shared" si="1"/>
        <v>0</v>
      </c>
      <c r="T66" s="101" t="s">
        <v>54</v>
      </c>
      <c r="U66" s="101" t="s">
        <v>54</v>
      </c>
      <c r="V66" s="101" t="s">
        <v>54</v>
      </c>
      <c r="W66" s="101" t="s">
        <v>54</v>
      </c>
      <c r="X66" s="133"/>
    </row>
    <row r="67" spans="1:24" s="57" customFormat="1" x14ac:dyDescent="0.25">
      <c r="A67" s="94" t="s">
        <v>46</v>
      </c>
      <c r="B67" s="94">
        <f>SUBTOTAL(109,Taulukko1[Tapahtumien määrä])</f>
        <v>0</v>
      </c>
      <c r="C67" s="136">
        <f>SUBTOTAL(103,Taulukko1[TOIMINTA])</f>
        <v>64</v>
      </c>
      <c r="D67" s="164">
        <f>SUBTOTAL(109,Taulukko1[SISÄLTÖ])</f>
        <v>0</v>
      </c>
      <c r="E67" s="137">
        <f>SUBTOTAL(103,Taulukko1[KOHDERYHMÄ])</f>
        <v>64</v>
      </c>
      <c r="F67" s="138">
        <f>SUBTOTAL(103,Taulukko1[Alueellisuus])</f>
        <v>64</v>
      </c>
      <c r="G67" s="138">
        <f>SUBTOTAL(103,Taulukko1[Ikäryhmä])</f>
        <v>64</v>
      </c>
      <c r="H67" s="139"/>
      <c r="I67" s="139"/>
      <c r="J67" s="139"/>
      <c r="K67" s="61"/>
      <c r="L67" s="61"/>
      <c r="M67" s="95">
        <f>SUBTOTAL(109,Taulukko1[Kesto (min) / tapaaminen])</f>
        <v>0</v>
      </c>
      <c r="N67" s="95">
        <f>SUBTOTAL(109,Taulukko1[Kokonais-kesto (min)])</f>
        <v>0</v>
      </c>
      <c r="O67" s="96">
        <f>SUBTOTAL(109,Taulukko1[Tapaamis-kerrat /lapsi])</f>
        <v>0</v>
      </c>
      <c r="P67" s="96">
        <f>SUBTOTAL(109,Taulukko1[Kävijämäärä a) lapset])</f>
        <v>0</v>
      </c>
      <c r="Q67" s="96">
        <f>SUBTOTAL(109,Taulukko1[Kävijämäärä b) aikuiset])</f>
        <v>0</v>
      </c>
      <c r="R67" s="96">
        <f>SUBTOTAL(109,Taulukko1[Kokonais-kävijämäärä])</f>
        <v>0</v>
      </c>
      <c r="S67" s="96">
        <f>SUBTOTAL(109,Taulukko1[Asiakaskontakti (lkm)])</f>
        <v>0</v>
      </c>
      <c r="T67" s="96"/>
      <c r="U67" s="96"/>
      <c r="V67" s="96"/>
      <c r="W67" s="96">
        <f>SUBTOTAL(103,Taulukko1[Tiedonantaja / vastuuhenkilö])</f>
        <v>0</v>
      </c>
      <c r="X67" s="96">
        <f>SUBTOTAL(103,Taulukko1[Tiedonantaja / vastuuhenkilö])</f>
        <v>0</v>
      </c>
    </row>
    <row r="68" spans="1:24" x14ac:dyDescent="0.25">
      <c r="M68" s="108"/>
    </row>
  </sheetData>
  <sheetProtection formatCells="0" insertColumns="0" insertRows="0"/>
  <mergeCells count="2">
    <mergeCell ref="M1:X1"/>
    <mergeCell ref="A1:L1"/>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'YHTEENVETO koko toiminta'!$A$19:$A$26</xm:f>
          </x14:formula1>
          <xm:sqref>E3:E66</xm:sqref>
        </x14:dataValidation>
        <x14:dataValidation type="list" allowBlank="1" showInputMessage="1" showErrorMessage="1">
          <x14:formula1>
            <xm:f>'YHTEENVETO koko toiminta'!$A$27:$A$31</xm:f>
          </x14:formula1>
          <xm:sqref>F3:F66</xm:sqref>
        </x14:dataValidation>
        <x14:dataValidation type="list" allowBlank="1" showInputMessage="1" showErrorMessage="1">
          <x14:formula1>
            <xm:f>'YHTEENVETO koko toiminta'!$A$46:$A$49</xm:f>
          </x14:formula1>
          <xm:sqref>T3:T66</xm:sqref>
        </x14:dataValidation>
        <x14:dataValidation type="list" allowBlank="1" showInputMessage="1" showErrorMessage="1">
          <x14:formula1>
            <xm:f>'YHTEENVETO koko toiminta'!$A$50:$A$58</xm:f>
          </x14:formula1>
          <xm:sqref>U3:U66</xm:sqref>
        </x14:dataValidation>
        <x14:dataValidation type="list" allowBlank="1" showInputMessage="1" showErrorMessage="1">
          <x14:formula1>
            <xm:f>'YHTEENVETO koko toiminta'!$A$59:$A$67</xm:f>
          </x14:formula1>
          <xm:sqref>V3:V66</xm:sqref>
        </x14:dataValidation>
        <x14:dataValidation type="list" allowBlank="1" showInputMessage="1" showErrorMessage="1">
          <x14:formula1>
            <xm:f>'YHTEENVETO koko toiminta'!$A$32:$A$45</xm:f>
          </x14:formula1>
          <xm:sqref>G3:G66</xm:sqref>
        </x14:dataValidation>
        <x14:dataValidation type="list" allowBlank="1" showInputMessage="1" showErrorMessage="1">
          <x14:formula1>
            <xm:f>'YHTEENVETO koko toiminta'!$A$3:$A$7</xm:f>
          </x14:formula1>
          <xm:sqref>C3:C66</xm:sqref>
        </x14:dataValidation>
        <x14:dataValidation type="list" allowBlank="1" showInputMessage="1" showErrorMessage="1">
          <x14:formula1>
            <xm:f>'YHTEENVETO koko toiminta'!$A$68:$A$70</xm:f>
          </x14:formula1>
          <xm:sqref>W3:W66</xm:sqref>
        </x14:dataValidation>
        <x14:dataValidation type="list" allowBlank="1" showInputMessage="1" showErrorMessage="1">
          <x14:formula1>
            <xm:f>'YHTEENVETO koko toiminta'!$A$8:$A$18</xm:f>
          </x14:formula1>
          <xm:sqref>D3:D66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workbookViewId="0">
      <selection activeCell="A25" sqref="A25"/>
    </sheetView>
  </sheetViews>
  <sheetFormatPr defaultRowHeight="15" x14ac:dyDescent="0.25"/>
  <cols>
    <col min="1" max="1" width="48.42578125" customWidth="1"/>
    <col min="2" max="2" width="22.5703125" customWidth="1"/>
    <col min="3" max="3" width="14.28515625" customWidth="1"/>
    <col min="4" max="4" width="18.140625" customWidth="1"/>
    <col min="5" max="5" width="15.7109375" customWidth="1"/>
    <col min="6" max="6" width="26.7109375" customWidth="1"/>
    <col min="7" max="7" width="14.7109375" customWidth="1"/>
    <col min="8" max="8" width="26.7109375" customWidth="1"/>
  </cols>
  <sheetData>
    <row r="1" spans="1:6" ht="19.5" customHeight="1" thickBot="1" x14ac:dyDescent="0.3">
      <c r="A1" s="149" t="s">
        <v>92</v>
      </c>
      <c r="B1" s="150"/>
      <c r="C1" s="2"/>
      <c r="D1" s="2"/>
      <c r="E1" s="2"/>
      <c r="F1" s="2"/>
    </row>
    <row r="2" spans="1:6" ht="17.25" customHeight="1" thickBot="1" x14ac:dyDescent="0.3">
      <c r="A2" s="149" t="s">
        <v>0</v>
      </c>
      <c r="B2" s="150"/>
      <c r="C2" s="2"/>
      <c r="D2" s="2"/>
      <c r="E2" s="2"/>
      <c r="F2" s="2"/>
    </row>
    <row r="3" spans="1:6" ht="15.75" customHeight="1" thickBot="1" x14ac:dyDescent="0.3">
      <c r="A3" s="151" t="s">
        <v>7</v>
      </c>
      <c r="B3" s="152"/>
    </row>
    <row r="4" spans="1:6" ht="16.5" customHeight="1" x14ac:dyDescent="0.25">
      <c r="A4" s="6" t="s">
        <v>20</v>
      </c>
      <c r="B4" s="6"/>
    </row>
    <row r="5" spans="1:6" x14ac:dyDescent="0.25">
      <c r="A5" s="40" t="s">
        <v>8</v>
      </c>
      <c r="B5" s="9"/>
    </row>
    <row r="6" spans="1:6" ht="18" customHeight="1" x14ac:dyDescent="0.25">
      <c r="A6" s="40" t="s">
        <v>9</v>
      </c>
      <c r="B6" s="9"/>
    </row>
    <row r="7" spans="1:6" ht="16.5" customHeight="1" x14ac:dyDescent="0.25">
      <c r="A7" s="40" t="s">
        <v>10</v>
      </c>
      <c r="B7" s="9"/>
    </row>
    <row r="8" spans="1:6" x14ac:dyDescent="0.25">
      <c r="A8" s="41" t="s">
        <v>19</v>
      </c>
      <c r="B8" s="7"/>
      <c r="D8" s="3"/>
    </row>
    <row r="9" spans="1:6" x14ac:dyDescent="0.25">
      <c r="A9" s="40" t="s">
        <v>8</v>
      </c>
      <c r="B9" s="9"/>
      <c r="D9" s="3"/>
    </row>
    <row r="10" spans="1:6" x14ac:dyDescent="0.25">
      <c r="A10" s="40" t="s">
        <v>9</v>
      </c>
      <c r="B10" s="9"/>
      <c r="D10" s="3"/>
    </row>
    <row r="11" spans="1:6" x14ac:dyDescent="0.25">
      <c r="A11" s="42" t="s">
        <v>10</v>
      </c>
      <c r="B11" s="10"/>
    </row>
    <row r="12" spans="1:6" x14ac:dyDescent="0.25">
      <c r="A12" s="43" t="s">
        <v>15</v>
      </c>
      <c r="B12" s="8"/>
    </row>
    <row r="13" spans="1:6" x14ac:dyDescent="0.25">
      <c r="A13" s="44" t="s">
        <v>16</v>
      </c>
      <c r="B13" s="10"/>
    </row>
    <row r="14" spans="1:6" x14ac:dyDescent="0.25">
      <c r="A14" s="44" t="s">
        <v>17</v>
      </c>
      <c r="B14" s="10"/>
    </row>
    <row r="15" spans="1:6" ht="15.75" thickBot="1" x14ac:dyDescent="0.3">
      <c r="A15" s="45" t="s">
        <v>18</v>
      </c>
      <c r="B15" s="11"/>
    </row>
    <row r="16" spans="1:6" ht="15.75" thickBot="1" x14ac:dyDescent="0.3">
      <c r="B16" s="4"/>
      <c r="C16" s="3"/>
    </row>
    <row r="17" spans="1:8" ht="15.75" thickBot="1" x14ac:dyDescent="0.3">
      <c r="A17" s="149" t="s">
        <v>13</v>
      </c>
      <c r="B17" s="150"/>
    </row>
    <row r="18" spans="1:8" x14ac:dyDescent="0.25">
      <c r="A18" s="46" t="s">
        <v>11</v>
      </c>
      <c r="B18" s="12"/>
    </row>
    <row r="19" spans="1:8" ht="15.75" thickBot="1" x14ac:dyDescent="0.3">
      <c r="A19" s="47" t="s">
        <v>12</v>
      </c>
      <c r="B19" s="13"/>
    </row>
    <row r="20" spans="1:8" ht="15.75" thickBot="1" x14ac:dyDescent="0.3">
      <c r="A20" s="5"/>
      <c r="B20" s="1"/>
    </row>
    <row r="21" spans="1:8" ht="15.75" thickBot="1" x14ac:dyDescent="0.3">
      <c r="A21" s="149" t="s">
        <v>14</v>
      </c>
      <c r="B21" s="150"/>
    </row>
    <row r="22" spans="1:8" x14ac:dyDescent="0.25">
      <c r="A22" s="48" t="s">
        <v>22</v>
      </c>
      <c r="B22" s="14"/>
    </row>
    <row r="23" spans="1:8" x14ac:dyDescent="0.25">
      <c r="A23" s="49" t="s">
        <v>21</v>
      </c>
      <c r="B23" s="15"/>
    </row>
    <row r="24" spans="1:8" x14ac:dyDescent="0.25">
      <c r="A24" s="42" t="s">
        <v>23</v>
      </c>
      <c r="B24" s="16"/>
    </row>
    <row r="25" spans="1:8" ht="15.75" thickBot="1" x14ac:dyDescent="0.3">
      <c r="A25" s="50" t="s">
        <v>24</v>
      </c>
      <c r="B25" s="13"/>
    </row>
    <row r="26" spans="1:8" s="39" customFormat="1" ht="15.75" thickBot="1" x14ac:dyDescent="0.3">
      <c r="A26" s="38"/>
      <c r="B26" s="38"/>
    </row>
    <row r="27" spans="1:8" s="31" customFormat="1" ht="15.75" thickBot="1" x14ac:dyDescent="0.3">
      <c r="A27" s="153" t="s">
        <v>93</v>
      </c>
      <c r="B27" s="154"/>
    </row>
    <row r="28" spans="1:8" s="31" customFormat="1" x14ac:dyDescent="0.25">
      <c r="A28" s="32" t="s">
        <v>64</v>
      </c>
      <c r="B28" s="35"/>
    </row>
    <row r="29" spans="1:8" s="31" customFormat="1" x14ac:dyDescent="0.25">
      <c r="A29" s="33" t="s">
        <v>65</v>
      </c>
      <c r="B29" s="36"/>
    </row>
    <row r="30" spans="1:8" s="31" customFormat="1" ht="15.75" thickBot="1" x14ac:dyDescent="0.3">
      <c r="A30" s="34" t="s">
        <v>66</v>
      </c>
      <c r="B30" s="37"/>
    </row>
    <row r="31" spans="1:8" ht="15.75" thickBot="1" x14ac:dyDescent="0.3"/>
    <row r="32" spans="1:8" ht="15.75" thickBot="1" x14ac:dyDescent="0.3">
      <c r="A32" s="155" t="s">
        <v>94</v>
      </c>
      <c r="B32" s="156"/>
      <c r="C32" s="156"/>
      <c r="D32" s="156"/>
      <c r="E32" s="156"/>
      <c r="F32" s="156"/>
      <c r="G32" s="156"/>
      <c r="H32" s="157"/>
    </row>
    <row r="33" spans="1:8" ht="15.75" thickBot="1" x14ac:dyDescent="0.3">
      <c r="A33" s="155" t="s">
        <v>118</v>
      </c>
      <c r="B33" s="156"/>
      <c r="C33" s="156"/>
      <c r="D33" s="156"/>
      <c r="E33" s="156"/>
      <c r="F33" s="156"/>
      <c r="G33" s="156"/>
      <c r="H33" s="157"/>
    </row>
    <row r="34" spans="1:8" ht="30.75" customHeight="1" thickBot="1" x14ac:dyDescent="0.3">
      <c r="A34" s="149" t="s">
        <v>117</v>
      </c>
      <c r="B34" s="150"/>
      <c r="C34" s="27" t="s">
        <v>29</v>
      </c>
      <c r="D34" s="27" t="s">
        <v>25</v>
      </c>
      <c r="E34" s="27" t="s">
        <v>30</v>
      </c>
      <c r="F34" s="18" t="s">
        <v>31</v>
      </c>
      <c r="G34" s="27" t="s">
        <v>32</v>
      </c>
      <c r="H34" s="27" t="s">
        <v>33</v>
      </c>
    </row>
    <row r="35" spans="1:8" ht="36.75" customHeight="1" x14ac:dyDescent="0.25">
      <c r="A35" s="19" t="s">
        <v>26</v>
      </c>
      <c r="B35" s="14"/>
      <c r="C35" s="22"/>
      <c r="D35" s="12"/>
      <c r="E35" s="20"/>
      <c r="F35" s="22"/>
      <c r="G35" s="12"/>
      <c r="H35" s="12"/>
    </row>
    <row r="36" spans="1:8" ht="36.75" customHeight="1" thickBot="1" x14ac:dyDescent="0.3">
      <c r="A36" s="21" t="s">
        <v>27</v>
      </c>
      <c r="B36" s="15"/>
      <c r="C36" s="23"/>
      <c r="D36" s="24"/>
      <c r="E36" s="25"/>
      <c r="F36" s="23"/>
      <c r="G36" s="26"/>
      <c r="H36" s="24"/>
    </row>
    <row r="37" spans="1:8" ht="37.5" customHeight="1" x14ac:dyDescent="0.25">
      <c r="A37" s="21" t="s">
        <v>28</v>
      </c>
      <c r="B37" s="52"/>
      <c r="C37" s="5"/>
      <c r="D37" s="17"/>
      <c r="E37" s="3"/>
      <c r="F37" s="17"/>
      <c r="G37" s="3"/>
      <c r="H37" s="17"/>
    </row>
    <row r="38" spans="1:8" ht="38.25" customHeight="1" thickBot="1" x14ac:dyDescent="0.3">
      <c r="A38" s="51" t="s">
        <v>55</v>
      </c>
      <c r="B38" s="53"/>
    </row>
  </sheetData>
  <mergeCells count="9">
    <mergeCell ref="A34:B34"/>
    <mergeCell ref="A17:B17"/>
    <mergeCell ref="A21:B21"/>
    <mergeCell ref="A3:B3"/>
    <mergeCell ref="A1:B1"/>
    <mergeCell ref="A2:B2"/>
    <mergeCell ref="A27:B27"/>
    <mergeCell ref="A32:H32"/>
    <mergeCell ref="A33:H3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pane ySplit="1" topLeftCell="A2" activePane="bottomLeft" state="frozen"/>
      <selection pane="bottomLeft" activeCell="M76" sqref="M76"/>
    </sheetView>
  </sheetViews>
  <sheetFormatPr defaultRowHeight="15" x14ac:dyDescent="0.25"/>
  <cols>
    <col min="1" max="1" width="38.85546875" style="61" customWidth="1"/>
    <col min="2" max="2" width="12.85546875" style="76" customWidth="1"/>
    <col min="3" max="3" width="10.42578125" style="76" customWidth="1"/>
    <col min="4" max="4" width="11.42578125" style="76" customWidth="1"/>
    <col min="5" max="5" width="9.5703125" style="76" customWidth="1"/>
    <col min="6" max="6" width="10.140625" style="76" customWidth="1"/>
    <col min="7" max="7" width="8.5703125" style="76" customWidth="1"/>
    <col min="8" max="8" width="8.7109375" style="76" customWidth="1"/>
    <col min="9" max="9" width="9.85546875" style="76" customWidth="1"/>
    <col min="10" max="10" width="12.28515625" style="76" customWidth="1"/>
    <col min="11" max="11" width="8.85546875" style="91" customWidth="1"/>
    <col min="12" max="12" width="9.28515625" style="91" customWidth="1"/>
    <col min="13" max="13" width="43" style="76" customWidth="1"/>
    <col min="14" max="16384" width="9.140625" style="76"/>
  </cols>
  <sheetData>
    <row r="1" spans="1:13" ht="44.25" customHeight="1" thickBot="1" x14ac:dyDescent="0.3">
      <c r="A1" s="134" t="s">
        <v>169</v>
      </c>
      <c r="B1" s="70" t="s">
        <v>116</v>
      </c>
      <c r="C1" s="70" t="s">
        <v>112</v>
      </c>
      <c r="D1" s="71" t="s">
        <v>108</v>
      </c>
      <c r="E1" s="72" t="s">
        <v>101</v>
      </c>
      <c r="F1" s="72" t="s">
        <v>102</v>
      </c>
      <c r="G1" s="73" t="s">
        <v>109</v>
      </c>
      <c r="H1" s="74" t="s">
        <v>110</v>
      </c>
      <c r="I1" s="74" t="s">
        <v>111</v>
      </c>
      <c r="J1" s="74" t="s">
        <v>143</v>
      </c>
      <c r="K1" s="75" t="s">
        <v>157</v>
      </c>
      <c r="L1" s="75" t="s">
        <v>156</v>
      </c>
    </row>
    <row r="2" spans="1:13" ht="15.75" thickBot="1" x14ac:dyDescent="0.3">
      <c r="A2" s="62" t="s">
        <v>50</v>
      </c>
      <c r="B2" s="59">
        <f>SUM(Taulukko1[[#Totals],[Tapahtumien määrä]])</f>
        <v>0</v>
      </c>
      <c r="C2" s="77" t="e">
        <f>SUM(Taulukko1[Tapahtumien määrä])/SUM(Taulukko1[Tapahtumien määrä])</f>
        <v>#DIV/0!</v>
      </c>
      <c r="D2" s="79" t="e">
        <f>AVERAGE(Taulukko1[Kesto (min) / tapaaminen])</f>
        <v>#DIV/0!</v>
      </c>
      <c r="E2" s="127">
        <f>SUM(Taulukko1[Kokonais-kesto (min)])/60</f>
        <v>0</v>
      </c>
      <c r="F2" s="78">
        <f>SUM(Taulukko1[Tapaamis-kerrat /lapsi])</f>
        <v>0</v>
      </c>
      <c r="G2" s="78">
        <f>SUM(Taulukko1[[#Totals],[Kävijämäärä a) lapset]])</f>
        <v>0</v>
      </c>
      <c r="H2" s="78">
        <f>SUM(Taulukko1[[#Totals],[Kävijämäärä b) aikuiset]])</f>
        <v>0</v>
      </c>
      <c r="I2" s="78">
        <f>SUM(Taulukko1[[#Totals],[Kokonais-kävijämäärä]])</f>
        <v>0</v>
      </c>
      <c r="J2" s="79">
        <f>AVERAGE(Taulukko1[Kokonais-kävijämäärä])</f>
        <v>0</v>
      </c>
      <c r="K2" s="128">
        <f>SUM(Taulukko1[Asiakaskontakti (lkm)])</f>
        <v>0</v>
      </c>
      <c r="L2" s="80" t="e">
        <f>SUM(Taulukko1[Asiakaskontakti (lkm)])/SUM(Taulukko1[Asiakaskontakti (lkm)])</f>
        <v>#DIV/0!</v>
      </c>
      <c r="M2" s="81" t="s">
        <v>50</v>
      </c>
    </row>
    <row r="3" spans="1:13" x14ac:dyDescent="0.25">
      <c r="A3" s="63" t="s">
        <v>54</v>
      </c>
      <c r="B3" s="82" t="s">
        <v>52</v>
      </c>
      <c r="C3" s="82"/>
      <c r="D3" s="82"/>
      <c r="E3" s="82"/>
      <c r="F3" s="82"/>
      <c r="G3" s="82"/>
      <c r="H3" s="82"/>
      <c r="I3" s="82"/>
      <c r="J3" s="82"/>
      <c r="K3" s="82"/>
      <c r="L3" s="82"/>
      <c r="M3" s="83"/>
    </row>
    <row r="4" spans="1:13" x14ac:dyDescent="0.25">
      <c r="A4" s="60" t="s">
        <v>34</v>
      </c>
      <c r="B4" s="85">
        <f>SUMIF(Taulukko1[TOIMINTA],"a)*",Taulukko1[Tapahtumien määrä])</f>
        <v>0</v>
      </c>
      <c r="C4" s="58" t="e">
        <f>(SUMIF(Taulukko1[TOIMINTA],"a)*",Taulukko1[Tapahtumien määrä]))/SUM(Taulukko1[Tapahtumien määrä])</f>
        <v>#DIV/0!</v>
      </c>
      <c r="D4" s="85" t="e">
        <f>AVERAGEIF(Taulukko1[TOIMINTA],"a)*",Taulukko1[Kesto (min) / tapaaminen])</f>
        <v>#DIV/0!</v>
      </c>
      <c r="E4" s="86">
        <f>SUMIF(Taulukko1[TOIMINTA],"a)*",Taulukko1[Kokonais-kesto (min)])/60</f>
        <v>0</v>
      </c>
      <c r="F4" s="84">
        <f>SUMIF(Taulukko1[TOIMINTA],"a)*",Taulukko1[Tapaamis-kerrat /lapsi])</f>
        <v>0</v>
      </c>
      <c r="G4" s="84">
        <f>SUMIF(Taulukko1[TOIMINTA],"a)*",Taulukko1[Kävijämäärä a) lapset])</f>
        <v>0</v>
      </c>
      <c r="H4" s="84">
        <f>SUMIF(Taulukko1[TOIMINTA],"a)*",Taulukko1[Kävijämäärä b) aikuiset])</f>
        <v>0</v>
      </c>
      <c r="I4" s="84">
        <f>SUMIF(Taulukko1[TOIMINTA],"a)*",Taulukko1[Kokonais-kävijämäärä])</f>
        <v>0</v>
      </c>
      <c r="J4" s="85" t="e">
        <f>AVERAGEIF(Taulukko1[TOIMINTA],"a)*",Taulukko1[Kokonais-kävijämäärä])</f>
        <v>#DIV/0!</v>
      </c>
      <c r="K4" s="84">
        <f>SUMIF(Taulukko1[TOIMINTA],"a)*",Taulukko1[Asiakaskontakti (lkm)])</f>
        <v>0</v>
      </c>
      <c r="L4" s="58" t="e">
        <f>SUMIF(Taulukko1[TOIMINTA],"a)*",Taulukko1[Asiakaskontakti (lkm)])/SUM(Taulukko1[Asiakaskontakti (lkm)])</f>
        <v>#DIV/0!</v>
      </c>
      <c r="M4" s="87" t="s">
        <v>56</v>
      </c>
    </row>
    <row r="5" spans="1:13" x14ac:dyDescent="0.25">
      <c r="A5" s="60" t="s">
        <v>48</v>
      </c>
      <c r="B5" s="85">
        <f>SUMIF(Taulukko1[TOIMINTA],"b)*",Taulukko1[Tapahtumien määrä])</f>
        <v>0</v>
      </c>
      <c r="C5" s="58" t="e">
        <f>(SUMIF(Taulukko1[TOIMINTA],"b)*",Taulukko1[Tapahtumien määrä]))/SUM(Taulukko1[Tapahtumien määrä])</f>
        <v>#DIV/0!</v>
      </c>
      <c r="D5" s="85" t="e">
        <f>AVERAGEIF(Taulukko1[TOIMINTA],"b)*",Taulukko1[Kesto (min) / tapaaminen])</f>
        <v>#DIV/0!</v>
      </c>
      <c r="E5" s="86">
        <f>SUMIF(Taulukko1[TOIMINTA],"b)*",Taulukko1[Kokonais-kesto (min)])/60</f>
        <v>0</v>
      </c>
      <c r="F5" s="84">
        <f>SUMIF(Taulukko1[TOIMINTA],"b)*",Taulukko1[Tapaamis-kerrat /lapsi])</f>
        <v>0</v>
      </c>
      <c r="G5" s="84">
        <f>SUMIF(Taulukko1[TOIMINTA],"b)*",Taulukko1[Kävijämäärä a) lapset])</f>
        <v>0</v>
      </c>
      <c r="H5" s="84">
        <f>SUMIF(Taulukko1[TOIMINTA],"b)*",Taulukko1[Kävijämäärä b) aikuiset])</f>
        <v>0</v>
      </c>
      <c r="I5" s="84">
        <f>SUMIF(Taulukko1[TOIMINTA],"b)*",Taulukko1[Kokonais-kävijämäärä])</f>
        <v>0</v>
      </c>
      <c r="J5" s="85" t="e">
        <f>AVERAGEIF(Taulukko1[TOIMINTA],"b)*",Taulukko1[Kokonais-kävijämäärä])</f>
        <v>#DIV/0!</v>
      </c>
      <c r="K5" s="84">
        <f>SUMIF(Taulukko1[TOIMINTA],"b)*",Taulukko1[Asiakaskontakti (lkm)])</f>
        <v>0</v>
      </c>
      <c r="L5" s="58" t="e">
        <f>SUMIF(Taulukko1[TOIMINTA],"b)*",Taulukko1[Asiakaskontakti (lkm)])/SUM(Taulukko1[Asiakaskontakti (lkm)])</f>
        <v>#DIV/0!</v>
      </c>
      <c r="M5" s="87" t="s">
        <v>57</v>
      </c>
    </row>
    <row r="6" spans="1:13" x14ac:dyDescent="0.25">
      <c r="A6" s="61" t="s">
        <v>49</v>
      </c>
      <c r="B6" s="85">
        <f>SUMIF(Taulukko1[TOIMINTA],"c)*",Taulukko1[Tapahtumien määrä])</f>
        <v>0</v>
      </c>
      <c r="C6" s="58" t="e">
        <f>(SUMIF(Taulukko1[TOIMINTA],"c)*",Taulukko1[Tapahtumien määrä]))/SUM(Taulukko1[Tapahtumien määrä])</f>
        <v>#DIV/0!</v>
      </c>
      <c r="D6" s="85" t="e">
        <f>AVERAGEIF(Taulukko1[TOIMINTA],"c)*",Taulukko1[Kesto (min) / tapaaminen])</f>
        <v>#DIV/0!</v>
      </c>
      <c r="E6" s="86">
        <f>SUMIF(Taulukko1[TOIMINTA],"c)*",Taulukko1[Kokonais-kesto (min)])/60</f>
        <v>0</v>
      </c>
      <c r="F6" s="84">
        <f>SUMIF(Taulukko1[TOIMINTA],"c)*",Taulukko1[Tapaamis-kerrat /lapsi])</f>
        <v>0</v>
      </c>
      <c r="G6" s="84">
        <f>SUMIF(Taulukko1[TOIMINTA],"c)*",Taulukko1[Kävijämäärä a) lapset])</f>
        <v>0</v>
      </c>
      <c r="H6" s="84">
        <f>SUMIF(Taulukko1[TOIMINTA],"c)*",Taulukko1[Kävijämäärä b) aikuiset])</f>
        <v>0</v>
      </c>
      <c r="I6" s="84">
        <f>SUMIF(Taulukko1[TOIMINTA],"c)*",Taulukko1[Kokonais-kävijämäärä])</f>
        <v>0</v>
      </c>
      <c r="J6" s="85" t="e">
        <f>AVERAGEIF(Taulukko1[TOIMINTA],"c)*",Taulukko1[Kokonais-kävijämäärä])</f>
        <v>#DIV/0!</v>
      </c>
      <c r="K6" s="84">
        <f>SUMIF(Taulukko1[TOIMINTA],"c)*",Taulukko1[Asiakaskontakti (lkm)])</f>
        <v>0</v>
      </c>
      <c r="L6" s="58" t="e">
        <f>SUMIF(Taulukko1[TOIMINTA],"c)*",Taulukko1[Asiakaskontakti (lkm)])/SUM(Taulukko1[Asiakaskontakti (lkm)])</f>
        <v>#DIV/0!</v>
      </c>
      <c r="M6" s="83" t="s">
        <v>49</v>
      </c>
    </row>
    <row r="7" spans="1:13" x14ac:dyDescent="0.25">
      <c r="A7" s="61" t="s">
        <v>161</v>
      </c>
      <c r="B7" s="85">
        <f>SUMIF(Taulukko1[TOIMINTA],"d)*",Taulukko1[Tapahtumien määrä])</f>
        <v>0</v>
      </c>
      <c r="C7" s="58" t="e">
        <f>(SUMIF(Taulukko1[TOIMINTA],"d)*",Taulukko1[Tapahtumien määrä]))/SUM(Taulukko1[Tapahtumien määrä])</f>
        <v>#DIV/0!</v>
      </c>
      <c r="D7" s="85" t="e">
        <f>AVERAGEIF(Taulukko1[TOIMINTA],"d)*",Taulukko1[Kesto (min) / tapaaminen])</f>
        <v>#DIV/0!</v>
      </c>
      <c r="E7" s="86">
        <f>SUMIF(Taulukko1[TOIMINTA],"d)*",Taulukko1[Kokonais-kesto (min)])/60</f>
        <v>0</v>
      </c>
      <c r="F7" s="84">
        <f>SUMIF(Taulukko1[TOIMINTA],"d)*",Taulukko1[Tapaamis-kerrat /lapsi])</f>
        <v>0</v>
      </c>
      <c r="G7" s="84">
        <f>SUMIF(Taulukko1[TOIMINTA],"d)*",Taulukko1[Kävijämäärä a) lapset])</f>
        <v>0</v>
      </c>
      <c r="H7" s="84">
        <f>SUMIF(Taulukko1[TOIMINTA],"d)*",Taulukko1[Kävijämäärä b) aikuiset])</f>
        <v>0</v>
      </c>
      <c r="I7" s="84">
        <f>SUMIF(Taulukko1[TOIMINTA],"d)*",Taulukko1[Kokonais-kävijämäärä])</f>
        <v>0</v>
      </c>
      <c r="J7" s="85" t="e">
        <f>AVERAGEIF(Taulukko1[TOIMINTA],"d)*",Taulukko1[Kokonais-kävijämäärä])</f>
        <v>#DIV/0!</v>
      </c>
      <c r="K7" s="84">
        <f>SUMIF(Taulukko1[TOIMINTA],"d)*",Taulukko1[Asiakaskontakti (lkm)])</f>
        <v>0</v>
      </c>
      <c r="L7" s="58" t="e">
        <f>SUMIF(Taulukko1[TOIMINTA],"d)*",Taulukko1[Asiakaskontakti (lkm)])/SUM(Taulukko1[Asiakaskontakti (lkm)])</f>
        <v>#DIV/0!</v>
      </c>
      <c r="M7" s="83" t="s">
        <v>160</v>
      </c>
    </row>
    <row r="8" spans="1:13" x14ac:dyDescent="0.25">
      <c r="A8" s="63" t="s">
        <v>54</v>
      </c>
      <c r="B8" s="135" t="s">
        <v>179</v>
      </c>
      <c r="C8" s="88"/>
      <c r="D8" s="88"/>
      <c r="E8" s="88"/>
      <c r="F8" s="88"/>
      <c r="G8" s="88"/>
      <c r="H8" s="88"/>
      <c r="I8" s="88"/>
      <c r="J8" s="88"/>
      <c r="K8" s="88"/>
      <c r="L8" s="88"/>
      <c r="M8" s="89"/>
    </row>
    <row r="9" spans="1:13" x14ac:dyDescent="0.25">
      <c r="A9" s="64" t="s">
        <v>41</v>
      </c>
      <c r="B9" s="85">
        <f>SUMIF(Taulukko1[SISÄLTÖ],"a)*",Taulukko1[Tapahtumien määrä])</f>
        <v>0</v>
      </c>
      <c r="C9" s="58" t="e">
        <f>(SUMIF(Taulukko1[SISÄLTÖ],"a)*",Taulukko1[Tapahtumien määrä]))/SUM(Taulukko1[Tapahtumien määrä])</f>
        <v>#DIV/0!</v>
      </c>
      <c r="D9" s="85" t="e">
        <f>AVERAGEIF(Taulukko1[SISÄLTÖ],"a)*",Taulukko1[Kesto (min) / tapaaminen])</f>
        <v>#DIV/0!</v>
      </c>
      <c r="E9" s="86">
        <f>SUMIF(Taulukko1[SISÄLTÖ],"a)*",Taulukko1[Kokonais-kesto (min)])/60</f>
        <v>0</v>
      </c>
      <c r="F9" s="84">
        <f>SUMIF(Taulukko1[SISÄLTÖ],"a)*",Taulukko1[Tapaamis-kerrat /lapsi])</f>
        <v>0</v>
      </c>
      <c r="G9" s="84">
        <f>SUMIF(Taulukko1[SISÄLTÖ],"a)*",Taulukko1[Kävijämäärä a) lapset])</f>
        <v>0</v>
      </c>
      <c r="H9" s="84">
        <f>SUMIF(Taulukko1[SISÄLTÖ],"a)*",Taulukko1[Kävijämäärä b) aikuiset])</f>
        <v>0</v>
      </c>
      <c r="I9" s="84">
        <f>SUMIF(Taulukko1[SISÄLTÖ],"a)*",Taulukko1[Kokonais-kävijämäärä])</f>
        <v>0</v>
      </c>
      <c r="J9" s="85" t="e">
        <f>AVERAGEIF(Taulukko1[SISÄLTÖ],"a)*",Taulukko1[Kokonais-kävijämäärä])</f>
        <v>#DIV/0!</v>
      </c>
      <c r="K9" s="84">
        <f>SUMIF(Taulukko1[SISÄLTÖ],"a)*",Taulukko1[Asiakaskontakti (lkm)])</f>
        <v>0</v>
      </c>
      <c r="L9" s="58" t="e">
        <f>SUMIF(Taulukko1[SISÄLTÖ],"a)*",Taulukko1[Asiakaskontakti (lkm)])/SUM(Taulukko1[Asiakaskontakti (lkm)])</f>
        <v>#DIV/0!</v>
      </c>
      <c r="M9" s="87" t="s">
        <v>41</v>
      </c>
    </row>
    <row r="10" spans="1:13" x14ac:dyDescent="0.25">
      <c r="A10" s="64" t="s">
        <v>44</v>
      </c>
      <c r="B10" s="85">
        <f>SUMIF(Taulukko1[SISÄLTÖ],"b)*",Taulukko1[Tapahtumien määrä])</f>
        <v>0</v>
      </c>
      <c r="C10" s="58" t="e">
        <f>(SUMIF(Taulukko1[SISÄLTÖ],"b)*",Taulukko1[Tapahtumien määrä]))/SUM(Taulukko1[Tapahtumien määrä])</f>
        <v>#DIV/0!</v>
      </c>
      <c r="D10" s="85" t="e">
        <f>AVERAGEIF(Taulukko1[SISÄLTÖ],"b)*",Taulukko1[Kesto (min) / tapaaminen])</f>
        <v>#DIV/0!</v>
      </c>
      <c r="E10" s="86">
        <f>SUMIF(Taulukko1[SISÄLTÖ],"b)*",Taulukko1[Kokonais-kesto (min)])/60</f>
        <v>0</v>
      </c>
      <c r="F10" s="84">
        <f>SUMIF(Taulukko1[SISÄLTÖ],"b)*",Taulukko1[Tapaamis-kerrat /lapsi])</f>
        <v>0</v>
      </c>
      <c r="G10" s="84">
        <f>SUMIF(Taulukko1[SISÄLTÖ],"b)*",Taulukko1[Kävijämäärä a) lapset])</f>
        <v>0</v>
      </c>
      <c r="H10" s="84">
        <f>SUMIF(Taulukko1[SISÄLTÖ],"b)*",Taulukko1[Kävijämäärä b) aikuiset])</f>
        <v>0</v>
      </c>
      <c r="I10" s="84">
        <f>SUMIF(Taulukko1[SISÄLTÖ],"b)*",Taulukko1[Kokonais-kävijämäärä])</f>
        <v>0</v>
      </c>
      <c r="J10" s="85" t="e">
        <f>AVERAGEIF(Taulukko1[SISÄLTÖ],"b)*",Taulukko1[Kokonais-kävijämäärä])</f>
        <v>#DIV/0!</v>
      </c>
      <c r="K10" s="84">
        <f>SUMIF(Taulukko1[SISÄLTÖ],"b)*",Taulukko1[Asiakaskontakti (lkm)])</f>
        <v>0</v>
      </c>
      <c r="L10" s="58" t="e">
        <f>SUMIF(Taulukko1[SISÄLTÖ],"b)*",Taulukko1[Asiakaskontakti (lkm)])/SUM(Taulukko1[Asiakaskontakti (lkm)])</f>
        <v>#DIV/0!</v>
      </c>
      <c r="M10" s="87" t="s">
        <v>42</v>
      </c>
    </row>
    <row r="11" spans="1:13" x14ac:dyDescent="0.25">
      <c r="A11" s="64" t="s">
        <v>45</v>
      </c>
      <c r="B11" s="85">
        <f>SUMIF(Taulukko1[SISÄLTÖ],"c)*",Taulukko1[Tapahtumien määrä])</f>
        <v>0</v>
      </c>
      <c r="C11" s="58" t="e">
        <f>(SUMIF(Taulukko1[SISÄLTÖ],"c)*",Taulukko1[Tapahtumien määrä]))/SUM(Taulukko1[Tapahtumien määrä])</f>
        <v>#DIV/0!</v>
      </c>
      <c r="D11" s="85" t="e">
        <f>AVERAGEIF(Taulukko1[SISÄLTÖ],"c)*",Taulukko1[Kesto (min) / tapaaminen])</f>
        <v>#DIV/0!</v>
      </c>
      <c r="E11" s="86">
        <f>SUMIF(Taulukko1[SISÄLTÖ],"c)*",Taulukko1[Kokonais-kesto (min)])/60</f>
        <v>0</v>
      </c>
      <c r="F11" s="84">
        <f>SUMIF(Taulukko1[SISÄLTÖ],"c)*",Taulukko1[Tapaamis-kerrat /lapsi])</f>
        <v>0</v>
      </c>
      <c r="G11" s="84">
        <f>SUMIF(Taulukko1[SISÄLTÖ],"c)*",Taulukko1[Kävijämäärä a) lapset])</f>
        <v>0</v>
      </c>
      <c r="H11" s="84">
        <f>SUMIF(Taulukko1[SISÄLTÖ],"c)*",Taulukko1[Kävijämäärä b) aikuiset])</f>
        <v>0</v>
      </c>
      <c r="I11" s="84">
        <f>SUMIF(Taulukko1[SISÄLTÖ],"c)*",Taulukko1[Kokonais-kävijämäärä])</f>
        <v>0</v>
      </c>
      <c r="J11" s="85" t="e">
        <f>AVERAGEIF(Taulukko1[SISÄLTÖ],"c)*",Taulukko1[Kokonais-kävijämäärä])</f>
        <v>#DIV/0!</v>
      </c>
      <c r="K11" s="84">
        <f>SUMIF(Taulukko1[SISÄLTÖ],"c)*",Taulukko1[Asiakaskontakti (lkm)])</f>
        <v>0</v>
      </c>
      <c r="L11" s="58" t="e">
        <f>SUMIF(Taulukko1[SISÄLTÖ],"c)*",Taulukko1[Asiakaskontakti (lkm)])/SUM(Taulukko1[Asiakaskontakti (lkm)])</f>
        <v>#DIV/0!</v>
      </c>
      <c r="M11" s="87" t="s">
        <v>43</v>
      </c>
    </row>
    <row r="12" spans="1:13" x14ac:dyDescent="0.25">
      <c r="A12" s="64" t="s">
        <v>91</v>
      </c>
      <c r="B12" s="85">
        <f>SUMIF(Taulukko1[SISÄLTÖ],"d)*",Taulukko1[Tapahtumien määrä])</f>
        <v>0</v>
      </c>
      <c r="C12" s="58" t="e">
        <f>(SUMIF(Taulukko1[SISÄLTÖ],"d)*",Taulukko1[Tapahtumien määrä]))/SUM(Taulukko1[Tapahtumien määrä])</f>
        <v>#DIV/0!</v>
      </c>
      <c r="D12" s="85" t="e">
        <f>AVERAGEIF(Taulukko1[SISÄLTÖ],"d)*",Taulukko1[Kesto (min) / tapaaminen])</f>
        <v>#DIV/0!</v>
      </c>
      <c r="E12" s="86">
        <f>SUMIF(Taulukko1[SISÄLTÖ],"d)*",Taulukko1[Kokonais-kesto (min)])/60</f>
        <v>0</v>
      </c>
      <c r="F12" s="84">
        <f>SUMIF(Taulukko1[SISÄLTÖ],"d)*",Taulukko1[Tapaamis-kerrat /lapsi])</f>
        <v>0</v>
      </c>
      <c r="G12" s="84">
        <f>SUMIF(Taulukko1[SISÄLTÖ],"d)*",Taulukko1[Kävijämäärä a) lapset])</f>
        <v>0</v>
      </c>
      <c r="H12" s="84">
        <f>SUMIF(Taulukko1[SISÄLTÖ],"d)*",Taulukko1[Kävijämäärä b) aikuiset])</f>
        <v>0</v>
      </c>
      <c r="I12" s="84">
        <f>SUMIF(Taulukko1[SISÄLTÖ],"d)*",Taulukko1[Kokonais-kävijämäärä])</f>
        <v>0</v>
      </c>
      <c r="J12" s="85" t="e">
        <f>AVERAGEIF(Taulukko1[SISÄLTÖ],"d)*",Taulukko1[Kokonais-kävijämäärä])</f>
        <v>#DIV/0!</v>
      </c>
      <c r="K12" s="84">
        <f>SUMIF(Taulukko1[SISÄLTÖ],"d)*",Taulukko1[Asiakaskontakti (lkm)])</f>
        <v>0</v>
      </c>
      <c r="L12" s="58" t="e">
        <f>SUMIF(Taulukko1[SISÄLTÖ],"d)*",Taulukko1[Asiakaskontakti (lkm)])/SUM(Taulukko1[Asiakaskontakti (lkm)])</f>
        <v>#DIV/0!</v>
      </c>
      <c r="M12" s="87" t="s">
        <v>91</v>
      </c>
    </row>
    <row r="13" spans="1:13" x14ac:dyDescent="0.25">
      <c r="A13" s="65" t="s">
        <v>128</v>
      </c>
      <c r="B13" s="85">
        <f>SUMIF(Taulukko1[SISÄLTÖ],"e)*",Taulukko1[Tapahtumien määrä])</f>
        <v>0</v>
      </c>
      <c r="C13" s="58" t="e">
        <f>(SUMIF(Taulukko1[SISÄLTÖ],"e)*",Taulukko1[Tapahtumien määrä]))/SUM(Taulukko1[Tapahtumien määrä])</f>
        <v>#DIV/0!</v>
      </c>
      <c r="D13" s="85" t="e">
        <f>AVERAGEIF(Taulukko1[SISÄLTÖ],"e)*",Taulukko1[Kesto (min) / tapaaminen])</f>
        <v>#DIV/0!</v>
      </c>
      <c r="E13" s="86">
        <f>SUMIF(Taulukko1[SISÄLTÖ],"e)*",Taulukko1[Kokonais-kesto (min)])/60</f>
        <v>0</v>
      </c>
      <c r="F13" s="84">
        <f>SUMIF(Taulukko1[SISÄLTÖ],"e)*",Taulukko1[Tapaamis-kerrat /lapsi])</f>
        <v>0</v>
      </c>
      <c r="G13" s="84">
        <f>SUMIF(Taulukko1[SISÄLTÖ],"e)*",Taulukko1[Kävijämäärä a) lapset])</f>
        <v>0</v>
      </c>
      <c r="H13" s="84">
        <f>SUMIF(Taulukko1[SISÄLTÖ],"e)*",Taulukko1[Kävijämäärä b) aikuiset])</f>
        <v>0</v>
      </c>
      <c r="I13" s="84">
        <f>SUMIF(Taulukko1[SISÄLTÖ],"e)*",Taulukko1[Kokonais-kävijämäärä])</f>
        <v>0</v>
      </c>
      <c r="J13" s="85" t="e">
        <f>AVERAGEIF(Taulukko1[SISÄLTÖ],"e)*",Taulukko1[Kokonais-kävijämäärä])</f>
        <v>#DIV/0!</v>
      </c>
      <c r="K13" s="84">
        <f>SUMIF(Taulukko1[SISÄLTÖ],"e)*",Taulukko1[Asiakaskontakti (lkm)])</f>
        <v>0</v>
      </c>
      <c r="L13" s="58" t="e">
        <f>SUMIF(Taulukko1[SISÄLTÖ],"e)*",Taulukko1[Asiakaskontakti (lkm)])/SUM(Taulukko1[Asiakaskontakti (lkm)])</f>
        <v>#DIV/0!</v>
      </c>
      <c r="M13" s="87" t="s">
        <v>128</v>
      </c>
    </row>
    <row r="14" spans="1:13" x14ac:dyDescent="0.25">
      <c r="A14" s="64" t="s">
        <v>113</v>
      </c>
      <c r="B14" s="85">
        <f>SUMIF(Taulukko1[SISÄLTÖ],"f)*",Taulukko1[Tapahtumien määrä])</f>
        <v>0</v>
      </c>
      <c r="C14" s="58" t="e">
        <f>(SUMIF(Taulukko1[SISÄLTÖ],"f)*",Taulukko1[Tapahtumien määrä]))/SUM(Taulukko1[Tapahtumien määrä])</f>
        <v>#DIV/0!</v>
      </c>
      <c r="D14" s="85" t="e">
        <f>AVERAGEIF(Taulukko1[SISÄLTÖ],"f)*",Taulukko1[Kesto (min) / tapaaminen])</f>
        <v>#DIV/0!</v>
      </c>
      <c r="E14" s="86">
        <f>SUMIF(Taulukko1[SISÄLTÖ],"f)*",Taulukko1[Kokonais-kesto (min)])/60</f>
        <v>0</v>
      </c>
      <c r="F14" s="84">
        <f>SUMIF(Taulukko1[SISÄLTÖ],"f)*",Taulukko1[Tapaamis-kerrat /lapsi])</f>
        <v>0</v>
      </c>
      <c r="G14" s="84">
        <f>SUMIF(Taulukko1[SISÄLTÖ],"f)*",Taulukko1[Kävijämäärä a) lapset])</f>
        <v>0</v>
      </c>
      <c r="H14" s="84">
        <f>SUMIF(Taulukko1[SISÄLTÖ],"f)*",Taulukko1[Kävijämäärä b) aikuiset])</f>
        <v>0</v>
      </c>
      <c r="I14" s="84">
        <f>SUMIF(Taulukko1[SISÄLTÖ],"f)*",Taulukko1[Kokonais-kävijämäärä])</f>
        <v>0</v>
      </c>
      <c r="J14" s="85" t="e">
        <f>AVERAGEIF(Taulukko1[SISÄLTÖ],"f)*",Taulukko1[Kokonais-kävijämäärä])</f>
        <v>#DIV/0!</v>
      </c>
      <c r="K14" s="84">
        <f>SUMIF(Taulukko1[SISÄLTÖ],"f)*",Taulukko1[Asiakaskontakti (lkm)])</f>
        <v>0</v>
      </c>
      <c r="L14" s="58" t="e">
        <f>SUMIF(Taulukko1[SISÄLTÖ],"f)*",Taulukko1[Asiakaskontakti (lkm)])/SUM(Taulukko1[Asiakaskontakti (lkm)])</f>
        <v>#DIV/0!</v>
      </c>
      <c r="M14" s="87" t="s">
        <v>113</v>
      </c>
    </row>
    <row r="15" spans="1:13" x14ac:dyDescent="0.25">
      <c r="A15" s="64" t="s">
        <v>114</v>
      </c>
      <c r="B15" s="85">
        <f>SUMIF(Taulukko1[SISÄLTÖ],"g)*",Taulukko1[Tapahtumien määrä])</f>
        <v>0</v>
      </c>
      <c r="C15" s="58" t="e">
        <f>(SUMIF(Taulukko1[SISÄLTÖ],"g)*",Taulukko1[Tapahtumien määrä]))/SUM(Taulukko1[Tapahtumien määrä])</f>
        <v>#DIV/0!</v>
      </c>
      <c r="D15" s="85" t="e">
        <f>AVERAGEIF(Taulukko1[SISÄLTÖ],"g)*",Taulukko1[Kesto (min) / tapaaminen])</f>
        <v>#DIV/0!</v>
      </c>
      <c r="E15" s="86">
        <f>SUMIF(Taulukko1[SISÄLTÖ],"g)*",Taulukko1[Kokonais-kesto (min)])/60</f>
        <v>0</v>
      </c>
      <c r="F15" s="84">
        <f>SUMIF(Taulukko1[SISÄLTÖ],"g)*",Taulukko1[Tapaamis-kerrat /lapsi])</f>
        <v>0</v>
      </c>
      <c r="G15" s="84">
        <f>SUMIF(Taulukko1[SISÄLTÖ],"g)*",Taulukko1[Kävijämäärä a) lapset])</f>
        <v>0</v>
      </c>
      <c r="H15" s="84">
        <f>SUMIF(Taulukko1[SISÄLTÖ],"g)*",Taulukko1[Kävijämäärä b) aikuiset])</f>
        <v>0</v>
      </c>
      <c r="I15" s="84">
        <f>SUMIF(Taulukko1[SISÄLTÖ],"g)*",Taulukko1[Kokonais-kävijämäärä])</f>
        <v>0</v>
      </c>
      <c r="J15" s="85" t="e">
        <f>AVERAGEIF(Taulukko1[SISÄLTÖ],"g)*",Taulukko1[Kokonais-kävijämäärä])</f>
        <v>#DIV/0!</v>
      </c>
      <c r="K15" s="84">
        <f>SUMIF(Taulukko1[SISÄLTÖ],"g)*",Taulukko1[Asiakaskontakti (lkm)])</f>
        <v>0</v>
      </c>
      <c r="L15" s="58" t="e">
        <f>SUMIF(Taulukko1[SISÄLTÖ],"g)*",Taulukko1[Asiakaskontakti (lkm)])/SUM(Taulukko1[Asiakaskontakti (lkm)])</f>
        <v>#DIV/0!</v>
      </c>
      <c r="M15" s="87" t="s">
        <v>114</v>
      </c>
    </row>
    <row r="16" spans="1:13" x14ac:dyDescent="0.25">
      <c r="A16" s="64" t="s">
        <v>115</v>
      </c>
      <c r="B16" s="85">
        <f>SUMIF(Taulukko1[SISÄLTÖ],"h)*",Taulukko1[Tapahtumien määrä])</f>
        <v>0</v>
      </c>
      <c r="C16" s="58" t="e">
        <f>(SUMIF(Taulukko1[SISÄLTÖ],"h)*",Taulukko1[Tapahtumien määrä]))/SUM(Taulukko1[Tapahtumien määrä])</f>
        <v>#DIV/0!</v>
      </c>
      <c r="D16" s="85" t="e">
        <f>AVERAGEIF(Taulukko1[SISÄLTÖ],"h)*",Taulukko1[Kesto (min) / tapaaminen])</f>
        <v>#DIV/0!</v>
      </c>
      <c r="E16" s="86">
        <f>SUMIF(Taulukko1[SISÄLTÖ],"h)*",Taulukko1[Kokonais-kesto (min)])/60</f>
        <v>0</v>
      </c>
      <c r="F16" s="84">
        <f>SUMIF(Taulukko1[SISÄLTÖ],"h)*",Taulukko1[Tapaamis-kerrat /lapsi])</f>
        <v>0</v>
      </c>
      <c r="G16" s="84">
        <f>SUMIF(Taulukko1[SISÄLTÖ],"h)*",Taulukko1[Kävijämäärä a) lapset])</f>
        <v>0</v>
      </c>
      <c r="H16" s="84">
        <f>SUMIF(Taulukko1[SISÄLTÖ],"h)*",Taulukko1[Kävijämäärä b) aikuiset])</f>
        <v>0</v>
      </c>
      <c r="I16" s="84">
        <f>SUMIF(Taulukko1[SISÄLTÖ],"h)*",Taulukko1[Kokonais-kävijämäärä])</f>
        <v>0</v>
      </c>
      <c r="J16" s="85" t="e">
        <f>AVERAGEIF(Taulukko1[SISÄLTÖ],"h)*",Taulukko1[Kokonais-kävijämäärä])</f>
        <v>#DIV/0!</v>
      </c>
      <c r="K16" s="84">
        <f>SUMIF(Taulukko1[SISÄLTÖ],"h)*",Taulukko1[Asiakaskontakti (lkm)])</f>
        <v>0</v>
      </c>
      <c r="L16" s="58" t="e">
        <f>SUMIF(Taulukko1[SISÄLTÖ],"h)*",Taulukko1[Asiakaskontakti (lkm)])/SUM(Taulukko1[Asiakaskontakti (lkm)])</f>
        <v>#DIV/0!</v>
      </c>
      <c r="M16" s="87" t="s">
        <v>115</v>
      </c>
    </row>
    <row r="17" spans="1:13" x14ac:dyDescent="0.25">
      <c r="A17" s="66" t="s">
        <v>168</v>
      </c>
      <c r="B17" s="85">
        <f>SUMIF(Taulukko1[SISÄLTÖ],"i)*",Taulukko1[Tapahtumien määrä])</f>
        <v>0</v>
      </c>
      <c r="C17" s="58" t="e">
        <f>(SUMIF(Taulukko1[SISÄLTÖ],"i)*",Taulukko1[Tapahtumien määrä]))/SUM(Taulukko1[Tapahtumien määrä])</f>
        <v>#DIV/0!</v>
      </c>
      <c r="D17" s="85" t="e">
        <f>AVERAGEIF(Taulukko1[SISÄLTÖ],"i)*",Taulukko1[Kesto (min) / tapaaminen])</f>
        <v>#DIV/0!</v>
      </c>
      <c r="E17" s="86">
        <f>SUMIF(Taulukko1[SISÄLTÖ],"i)*",Taulukko1[Kokonais-kesto (min)])/60</f>
        <v>0</v>
      </c>
      <c r="F17" s="84">
        <f>SUMIF(Taulukko1[SISÄLTÖ],"i)*",Taulukko1[Tapaamis-kerrat /lapsi])</f>
        <v>0</v>
      </c>
      <c r="G17" s="84">
        <f>SUMIF(Taulukko1[SISÄLTÖ],"i)*",Taulukko1[Kävijämäärä a) lapset])</f>
        <v>0</v>
      </c>
      <c r="H17" s="84">
        <f>SUMIF(Taulukko1[SISÄLTÖ],"i)*",Taulukko1[Kävijämäärä b) aikuiset])</f>
        <v>0</v>
      </c>
      <c r="I17" s="84">
        <f>SUMIF(Taulukko1[SISÄLTÖ],"i)*",Taulukko1[Kokonais-kävijämäärä])</f>
        <v>0</v>
      </c>
      <c r="J17" s="85" t="e">
        <f>AVERAGEIF(Taulukko1[SISÄLTÖ],"i)*",Taulukko1[Kokonais-kävijämäärä])</f>
        <v>#DIV/0!</v>
      </c>
      <c r="K17" s="84">
        <f>SUMIF(Taulukko1[SISÄLTÖ],"i)*",Taulukko1[Asiakaskontakti (lkm)])</f>
        <v>0</v>
      </c>
      <c r="L17" s="58" t="e">
        <f>SUMIF(Taulukko1[SISÄLTÖ],"i)*",Taulukko1[Asiakaskontakti (lkm)])/SUM(Taulukko1[Asiakaskontakti (lkm)])</f>
        <v>#DIV/0!</v>
      </c>
      <c r="M17" s="83" t="s">
        <v>168</v>
      </c>
    </row>
    <row r="18" spans="1:13" x14ac:dyDescent="0.25">
      <c r="A18" s="66" t="s">
        <v>178</v>
      </c>
      <c r="B18" s="85">
        <f>SUMIF(Taulukko1[SISÄLTÖ],"j)*",Taulukko1[Tapahtumien määrä])</f>
        <v>0</v>
      </c>
      <c r="C18" s="58" t="e">
        <f>(SUMIF(Taulukko1[SISÄLTÖ],"j)*",Taulukko1[Tapahtumien määrä]))/SUM(Taulukko1[Tapahtumien määrä])</f>
        <v>#DIV/0!</v>
      </c>
      <c r="D18" s="85" t="e">
        <f>AVERAGEIF(Taulukko1[SISÄLTÖ],"j)*",Taulukko1[Kesto (min) / tapaaminen])</f>
        <v>#DIV/0!</v>
      </c>
      <c r="E18" s="86">
        <f>SUMIF(Taulukko1[SISÄLTÖ],"j)*",Taulukko1[Kokonais-kesto (min)])/60</f>
        <v>0</v>
      </c>
      <c r="F18" s="84">
        <f>SUMIF(Taulukko1[SISÄLTÖ],"j)*",Taulukko1[Tapaamis-kerrat /lapsi])</f>
        <v>0</v>
      </c>
      <c r="G18" s="84">
        <f>SUMIF(Taulukko1[SISÄLTÖ],"j)*",Taulukko1[Kävijämäärä a) lapset])</f>
        <v>0</v>
      </c>
      <c r="H18" s="84">
        <f>SUMIF(Taulukko1[SISÄLTÖ],"j)*",Taulukko1[Kävijämäärä b) aikuiset])</f>
        <v>0</v>
      </c>
      <c r="I18" s="84">
        <f>SUMIF(Taulukko1[SISÄLTÖ],"j)*",Taulukko1[Kokonais-kävijämäärä])</f>
        <v>0</v>
      </c>
      <c r="J18" s="85" t="e">
        <f>AVERAGEIF(Taulukko1[SISÄLTÖ],"j)*",Taulukko1[Kokonais-kävijämäärä])</f>
        <v>#DIV/0!</v>
      </c>
      <c r="K18" s="84">
        <f>SUMIF(Taulukko1[SISÄLTÖ],"j)*",Taulukko1[Asiakaskontakti (lkm)])</f>
        <v>0</v>
      </c>
      <c r="L18" s="58" t="e">
        <f>SUMIF(Taulukko1[SISÄLTÖ],"j)*",Taulukko1[Asiakaskontakti (lkm)])/SUM(Taulukko1[Asiakaskontakti (lkm)])</f>
        <v>#DIV/0!</v>
      </c>
      <c r="M18" s="83" t="s">
        <v>178</v>
      </c>
    </row>
    <row r="19" spans="1:13" x14ac:dyDescent="0.25">
      <c r="A19" s="63" t="s">
        <v>54</v>
      </c>
      <c r="B19" s="90" t="s">
        <v>53</v>
      </c>
      <c r="C19" s="90"/>
      <c r="D19" s="90"/>
      <c r="E19" s="90"/>
      <c r="F19" s="90"/>
      <c r="G19" s="90"/>
      <c r="H19" s="90"/>
      <c r="I19" s="90"/>
      <c r="J19" s="90"/>
      <c r="K19" s="90"/>
      <c r="L19" s="90"/>
      <c r="M19" s="83"/>
    </row>
    <row r="20" spans="1:13" x14ac:dyDescent="0.25">
      <c r="A20" s="60" t="s">
        <v>40</v>
      </c>
      <c r="B20" s="85">
        <f>SUMIF(Taulukko1[KOHDERYHMÄ],"a)*",Taulukko1[Tapahtumien määrä])</f>
        <v>0</v>
      </c>
      <c r="C20" s="58" t="e">
        <f>(SUMIF(Taulukko1[KOHDERYHMÄ],"a)*",Taulukko1[Tapahtumien määrä]))/SUM(Taulukko1[Tapahtumien määrä])</f>
        <v>#DIV/0!</v>
      </c>
      <c r="D20" s="85" t="e">
        <f>AVERAGEIF(Taulukko1[KOHDERYHMÄ],"a)*",Taulukko1[Kesto (min) / tapaaminen])</f>
        <v>#DIV/0!</v>
      </c>
      <c r="E20" s="86">
        <f>SUMIF(Taulukko1[KOHDERYHMÄ],"a)*",Taulukko1[Kokonais-kesto (min)])/60</f>
        <v>0</v>
      </c>
      <c r="F20" s="84">
        <f>SUMIF(Taulukko1[KOHDERYHMÄ],"a)*",Taulukko1[Tapaamis-kerrat /lapsi])</f>
        <v>0</v>
      </c>
      <c r="G20" s="84">
        <f>SUMIF(Taulukko1[KOHDERYHMÄ],"a)*",Taulukko1[Kävijämäärä a) lapset])</f>
        <v>0</v>
      </c>
      <c r="H20" s="84">
        <f>SUMIF(Taulukko1[KOHDERYHMÄ],"a)*",Taulukko1[Kävijämäärä b) aikuiset])</f>
        <v>0</v>
      </c>
      <c r="I20" s="84">
        <f>SUMIF(Taulukko1[KOHDERYHMÄ],"a)*",Taulukko1[Kokonais-kävijämäärä])</f>
        <v>0</v>
      </c>
      <c r="J20" s="85" t="e">
        <f>AVERAGEIF(Taulukko1[KOHDERYHMÄ],"a)*",Taulukko1[Kokonais-kävijämäärä])</f>
        <v>#DIV/0!</v>
      </c>
      <c r="K20" s="84">
        <f>SUMIF(Taulukko1[KOHDERYHMÄ],"a)*",Taulukko1[Asiakaskontakti (lkm)])</f>
        <v>0</v>
      </c>
      <c r="L20" s="58" t="e">
        <f>SUMIF(Taulukko1[KOHDERYHMÄ],"a)*",Taulukko1[Asiakaskontakti (lkm)])/SUM(Taulukko1[Asiakaskontakti (lkm)])</f>
        <v>#DIV/0!</v>
      </c>
      <c r="M20" s="87" t="s">
        <v>58</v>
      </c>
    </row>
    <row r="21" spans="1:13" x14ac:dyDescent="0.25">
      <c r="A21" s="60" t="s">
        <v>39</v>
      </c>
      <c r="B21" s="85">
        <f>SUMIF(Taulukko1[KOHDERYHMÄ],"b)*",Taulukko1[Tapahtumien määrä])</f>
        <v>0</v>
      </c>
      <c r="C21" s="58" t="e">
        <f>(SUMIF(Taulukko1[KOHDERYHMÄ],"b)*",Taulukko1[Tapahtumien määrä]))/SUM(Taulukko1[Tapahtumien määrä])</f>
        <v>#DIV/0!</v>
      </c>
      <c r="D21" s="85" t="e">
        <f>AVERAGEIF(Taulukko1[KOHDERYHMÄ],"b)*",Taulukko1[Kesto (min) / tapaaminen])</f>
        <v>#DIV/0!</v>
      </c>
      <c r="E21" s="86">
        <f>SUMIF(Taulukko1[KOHDERYHMÄ],"b)*",Taulukko1[Kokonais-kesto (min)])/60</f>
        <v>0</v>
      </c>
      <c r="F21" s="84">
        <f>SUMIF(Taulukko1[KOHDERYHMÄ],"b)*",Taulukko1[Tapaamis-kerrat /lapsi])</f>
        <v>0</v>
      </c>
      <c r="G21" s="84">
        <f>SUMIF(Taulukko1[KOHDERYHMÄ],"b)*",Taulukko1[Kävijämäärä a) lapset])</f>
        <v>0</v>
      </c>
      <c r="H21" s="84">
        <f>SUMIF(Taulukko1[KOHDERYHMÄ],"b)*",Taulukko1[Kävijämäärä b) aikuiset])</f>
        <v>0</v>
      </c>
      <c r="I21" s="84">
        <f>SUMIF(Taulukko1[KOHDERYHMÄ],"b)*",Taulukko1[Kokonais-kävijämäärä])</f>
        <v>0</v>
      </c>
      <c r="J21" s="85" t="e">
        <f>AVERAGEIF(Taulukko1[KOHDERYHMÄ],"b)*",Taulukko1[Kokonais-kävijämäärä])</f>
        <v>#DIV/0!</v>
      </c>
      <c r="K21" s="84">
        <f>SUMIF(Taulukko1[KOHDERYHMÄ],"b)*",Taulukko1[Asiakaskontakti (lkm)])</f>
        <v>0</v>
      </c>
      <c r="L21" s="58" t="e">
        <f>SUMIF(Taulukko1[KOHDERYHMÄ],"b)*",Taulukko1[Asiakaskontakti (lkm)])/SUM(Taulukko1[Asiakaskontakti (lkm)])</f>
        <v>#DIV/0!</v>
      </c>
      <c r="M21" s="87" t="s">
        <v>59</v>
      </c>
    </row>
    <row r="22" spans="1:13" x14ac:dyDescent="0.25">
      <c r="A22" s="60" t="s">
        <v>38</v>
      </c>
      <c r="B22" s="85">
        <f>SUMIF(Taulukko1[KOHDERYHMÄ],"c)*",Taulukko1[Tapahtumien määrä])</f>
        <v>0</v>
      </c>
      <c r="C22" s="58" t="e">
        <f>(SUMIF(Taulukko1[KOHDERYHMÄ],"c)*",Taulukko1[Tapahtumien määrä]))/SUM(Taulukko1[Tapahtumien määrä])</f>
        <v>#DIV/0!</v>
      </c>
      <c r="D22" s="85" t="e">
        <f>AVERAGEIF(Taulukko1[KOHDERYHMÄ],"c)*",Taulukko1[Kesto (min) / tapaaminen])</f>
        <v>#DIV/0!</v>
      </c>
      <c r="E22" s="86">
        <f>SUMIF(Taulukko1[KOHDERYHMÄ],"c)*",Taulukko1[Kokonais-kesto (min)])/60</f>
        <v>0</v>
      </c>
      <c r="F22" s="84">
        <f>SUMIF(Taulukko1[KOHDERYHMÄ],"c)*",Taulukko1[Tapaamis-kerrat /lapsi])</f>
        <v>0</v>
      </c>
      <c r="G22" s="84">
        <f>SUMIF(Taulukko1[KOHDERYHMÄ],"c)*",Taulukko1[Kävijämäärä a) lapset])</f>
        <v>0</v>
      </c>
      <c r="H22" s="84">
        <f>SUMIF(Taulukko1[KOHDERYHMÄ],"c)*",Taulukko1[Kävijämäärä b) aikuiset])</f>
        <v>0</v>
      </c>
      <c r="I22" s="84">
        <f>SUMIF(Taulukko1[KOHDERYHMÄ],"c)*",Taulukko1[Kokonais-kävijämäärä])</f>
        <v>0</v>
      </c>
      <c r="J22" s="85" t="e">
        <f>AVERAGEIF(Taulukko1[KOHDERYHMÄ],"c)*",Taulukko1[Kokonais-kävijämäärä])</f>
        <v>#DIV/0!</v>
      </c>
      <c r="K22" s="84">
        <f>SUMIF(Taulukko1[KOHDERYHMÄ],"c)*",Taulukko1[Asiakaskontakti (lkm)])</f>
        <v>0</v>
      </c>
      <c r="L22" s="58" t="e">
        <f>SUMIF(Taulukko1[KOHDERYHMÄ],"c)*",Taulukko1[Asiakaskontakti (lkm)])/SUM(Taulukko1[Asiakaskontakti (lkm)])</f>
        <v>#DIV/0!</v>
      </c>
      <c r="M22" s="87" t="s">
        <v>60</v>
      </c>
    </row>
    <row r="23" spans="1:13" x14ac:dyDescent="0.25">
      <c r="A23" s="60" t="s">
        <v>37</v>
      </c>
      <c r="B23" s="85">
        <f>SUMIF(Taulukko1[KOHDERYHMÄ],"d)*",Taulukko1[Tapahtumien määrä])</f>
        <v>0</v>
      </c>
      <c r="C23" s="58" t="e">
        <f>(SUMIF(Taulukko1[KOHDERYHMÄ],"d)*",Taulukko1[Tapahtumien määrä]))/SUM(Taulukko1[Tapahtumien määrä])</f>
        <v>#DIV/0!</v>
      </c>
      <c r="D23" s="85" t="e">
        <f>AVERAGEIF(Taulukko1[KOHDERYHMÄ],"d)*",Taulukko1[Kesto (min) / tapaaminen])</f>
        <v>#DIV/0!</v>
      </c>
      <c r="E23" s="86">
        <f>SUMIF(Taulukko1[KOHDERYHMÄ],"d)*",Taulukko1[Kokonais-kesto (min)])/60</f>
        <v>0</v>
      </c>
      <c r="F23" s="84">
        <f>SUMIF(Taulukko1[KOHDERYHMÄ],"d)*",Taulukko1[Tapaamis-kerrat /lapsi])</f>
        <v>0</v>
      </c>
      <c r="G23" s="84">
        <f>SUMIF(Taulukko1[KOHDERYHMÄ],"d)*",Taulukko1[Kävijämäärä a) lapset])</f>
        <v>0</v>
      </c>
      <c r="H23" s="84">
        <f>SUMIF(Taulukko1[KOHDERYHMÄ],"d)*",Taulukko1[Kävijämäärä b) aikuiset])</f>
        <v>0</v>
      </c>
      <c r="I23" s="84">
        <f>SUMIF(Taulukko1[KOHDERYHMÄ],"d)*",Taulukko1[Kokonais-kävijämäärä])</f>
        <v>0</v>
      </c>
      <c r="J23" s="85" t="e">
        <f>AVERAGEIF(Taulukko1[KOHDERYHMÄ],"d)*",Taulukko1[Kokonais-kävijämäärä])</f>
        <v>#DIV/0!</v>
      </c>
      <c r="K23" s="84">
        <f>SUMIF(Taulukko1[KOHDERYHMÄ],"d)*",Taulukko1[Asiakaskontakti (lkm)])</f>
        <v>0</v>
      </c>
      <c r="L23" s="58" t="e">
        <f>SUMIF(Taulukko1[KOHDERYHMÄ],"d)*",Taulukko1[Asiakaskontakti (lkm)])/SUM(Taulukko1[Asiakaskontakti (lkm)])</f>
        <v>#DIV/0!</v>
      </c>
      <c r="M23" s="87" t="s">
        <v>61</v>
      </c>
    </row>
    <row r="24" spans="1:13" x14ac:dyDescent="0.25">
      <c r="A24" s="60" t="s">
        <v>36</v>
      </c>
      <c r="B24" s="85">
        <f>SUMIF(Taulukko1[KOHDERYHMÄ],"e)*",Taulukko1[Tapahtumien määrä])</f>
        <v>0</v>
      </c>
      <c r="C24" s="58" t="e">
        <f>(SUMIF(Taulukko1[KOHDERYHMÄ],"e)*",Taulukko1[Tapahtumien määrä]))/SUM(Taulukko1[Tapahtumien määrä])</f>
        <v>#DIV/0!</v>
      </c>
      <c r="D24" s="85" t="e">
        <f>AVERAGEIF(Taulukko1[KOHDERYHMÄ],"e)*",Taulukko1[Kesto (min) / tapaaminen])</f>
        <v>#DIV/0!</v>
      </c>
      <c r="E24" s="86">
        <f>SUMIF(Taulukko1[KOHDERYHMÄ],"e)*",Taulukko1[Kokonais-kesto (min)])/60</f>
        <v>0</v>
      </c>
      <c r="F24" s="84">
        <f>SUMIF(Taulukko1[KOHDERYHMÄ],"e)*",Taulukko1[Tapaamis-kerrat /lapsi])</f>
        <v>0</v>
      </c>
      <c r="G24" s="84">
        <f>SUMIF(Taulukko1[KOHDERYHMÄ],"e)*",Taulukko1[Kävijämäärä a) lapset])</f>
        <v>0</v>
      </c>
      <c r="H24" s="84">
        <f>SUMIF(Taulukko1[KOHDERYHMÄ],"e)*",Taulukko1[Kävijämäärä b) aikuiset])</f>
        <v>0</v>
      </c>
      <c r="I24" s="84">
        <f>SUMIF(Taulukko1[KOHDERYHMÄ],"e)*",Taulukko1[Kokonais-kävijämäärä])</f>
        <v>0</v>
      </c>
      <c r="J24" s="85" t="e">
        <f>AVERAGEIF(Taulukko1[KOHDERYHMÄ],"e)*",Taulukko1[Kokonais-kävijämäärä])</f>
        <v>#DIV/0!</v>
      </c>
      <c r="K24" s="84">
        <f>SUMIF(Taulukko1[KOHDERYHMÄ],"e)*",Taulukko1[Asiakaskontakti (lkm)])</f>
        <v>0</v>
      </c>
      <c r="L24" s="58" t="e">
        <f>SUMIF(Taulukko1[KOHDERYHMÄ],"e)*",Taulukko1[Asiakaskontakti (lkm)])/SUM(Taulukko1[Asiakaskontakti (lkm)])</f>
        <v>#DIV/0!</v>
      </c>
      <c r="M24" s="87" t="s">
        <v>36</v>
      </c>
    </row>
    <row r="25" spans="1:13" x14ac:dyDescent="0.25">
      <c r="A25" s="60" t="s">
        <v>35</v>
      </c>
      <c r="B25" s="85">
        <f>SUMIF(Taulukko1[KOHDERYHMÄ],"f)*",Taulukko1[Tapahtumien määrä])</f>
        <v>0</v>
      </c>
      <c r="C25" s="58" t="e">
        <f>(SUMIF(Taulukko1[KOHDERYHMÄ],"f)*",Taulukko1[Tapahtumien määrä]))/SUM(Taulukko1[Tapahtumien määrä])</f>
        <v>#DIV/0!</v>
      </c>
      <c r="D25" s="85" t="e">
        <f>AVERAGEIF(Taulukko1[KOHDERYHMÄ],"f)*",Taulukko1[Kesto (min) / tapaaminen])</f>
        <v>#DIV/0!</v>
      </c>
      <c r="E25" s="86">
        <f>SUMIF(Taulukko1[KOHDERYHMÄ],"f)*",Taulukko1[Kokonais-kesto (min)])/60</f>
        <v>0</v>
      </c>
      <c r="F25" s="84">
        <f>SUMIF(Taulukko1[KOHDERYHMÄ],"f)*",Taulukko1[Tapaamis-kerrat /lapsi])</f>
        <v>0</v>
      </c>
      <c r="G25" s="84">
        <f>SUMIF(Taulukko1[KOHDERYHMÄ],"f)*",Taulukko1[Kävijämäärä a) lapset])</f>
        <v>0</v>
      </c>
      <c r="H25" s="84">
        <f>SUMIF(Taulukko1[KOHDERYHMÄ],"f)*",Taulukko1[Kävijämäärä b) aikuiset])</f>
        <v>0</v>
      </c>
      <c r="I25" s="84">
        <f>SUMIF(Taulukko1[KOHDERYHMÄ],"f)*",Taulukko1[Kokonais-kävijämäärä])</f>
        <v>0</v>
      </c>
      <c r="J25" s="85" t="e">
        <f>AVERAGEIF(Taulukko1[KOHDERYHMÄ],"f)*",Taulukko1[Kokonais-kävijämäärä])</f>
        <v>#DIV/0!</v>
      </c>
      <c r="K25" s="84">
        <f>SUMIF(Taulukko1[KOHDERYHMÄ],"f)*",Taulukko1[Asiakaskontakti (lkm)])</f>
        <v>0</v>
      </c>
      <c r="L25" s="58" t="e">
        <f>SUMIF(Taulukko1[KOHDERYHMÄ],"f)*",Taulukko1[Asiakaskontakti (lkm)])/SUM(Taulukko1[Asiakaskontakti (lkm)])</f>
        <v>#DIV/0!</v>
      </c>
      <c r="M25" s="87" t="s">
        <v>62</v>
      </c>
    </row>
    <row r="26" spans="1:13" x14ac:dyDescent="0.25">
      <c r="A26" s="61" t="s">
        <v>51</v>
      </c>
      <c r="B26" s="85">
        <f>SUMIF(Taulukko1[KOHDERYHMÄ],"g)*",Taulukko1[Tapahtumien määrä])</f>
        <v>0</v>
      </c>
      <c r="C26" s="58" t="e">
        <f>(SUMIF(Taulukko1[KOHDERYHMÄ],"g)*",Taulukko1[Tapahtumien määrä]))/SUM(Taulukko1[Tapahtumien määrä])</f>
        <v>#DIV/0!</v>
      </c>
      <c r="D26" s="85" t="e">
        <f>AVERAGEIF(Taulukko1[KOHDERYHMÄ],"g)*",Taulukko1[Kesto (min) / tapaaminen])</f>
        <v>#DIV/0!</v>
      </c>
      <c r="E26" s="86">
        <f>SUMIF(Taulukko1[KOHDERYHMÄ],"g)*",Taulukko1[Kokonais-kesto (min)])/60</f>
        <v>0</v>
      </c>
      <c r="F26" s="84">
        <f>SUMIF(Taulukko1[KOHDERYHMÄ],"g)*",Taulukko1[Tapaamis-kerrat /lapsi])</f>
        <v>0</v>
      </c>
      <c r="G26" s="84">
        <f>SUMIF(Taulukko1[KOHDERYHMÄ],"g)*",Taulukko1[Kävijämäärä a) lapset])</f>
        <v>0</v>
      </c>
      <c r="H26" s="84">
        <f>SUMIF(Taulukko1[KOHDERYHMÄ],"g)*",Taulukko1[Kävijämäärä b) aikuiset])</f>
        <v>0</v>
      </c>
      <c r="I26" s="84">
        <f>SUMIF(Taulukko1[KOHDERYHMÄ],"g)*",Taulukko1[Kokonais-kävijämäärä])</f>
        <v>0</v>
      </c>
      <c r="J26" s="85" t="e">
        <f>AVERAGEIF(Taulukko1[KOHDERYHMÄ],"g)*",Taulukko1[Kokonais-kävijämäärä])</f>
        <v>#DIV/0!</v>
      </c>
      <c r="K26" s="84">
        <f>SUMIF(Taulukko1[KOHDERYHMÄ],"d)*",Taulukko1[Asiakaskontakti (lkm)])</f>
        <v>0</v>
      </c>
      <c r="L26" s="58" t="e">
        <f>SUMIF(Taulukko1[KOHDERYHMÄ],"g)*",Taulukko1[Asiakaskontakti (lkm)])/SUM(Taulukko1[Asiakaskontakti (lkm)])</f>
        <v>#DIV/0!</v>
      </c>
      <c r="M26" s="83" t="s">
        <v>51</v>
      </c>
    </row>
    <row r="27" spans="1:13" x14ac:dyDescent="0.25">
      <c r="A27" s="63" t="s">
        <v>54</v>
      </c>
      <c r="B27" s="91" t="s">
        <v>121</v>
      </c>
      <c r="C27" s="91"/>
      <c r="D27" s="91"/>
    </row>
    <row r="28" spans="1:13" ht="15.75" x14ac:dyDescent="0.25">
      <c r="A28" s="67" t="s">
        <v>124</v>
      </c>
      <c r="B28" s="85">
        <f>SUMIF(Taulukko1[Alueellisuus],"a)*",Taulukko1[Tapahtumien määrä])</f>
        <v>0</v>
      </c>
      <c r="C28" s="58" t="e">
        <f>(SUMIF(Taulukko1[Alueellisuus],"a)*",Taulukko1[Tapahtumien määrä]))/SUM(Taulukko1[Tapahtumien määrä])</f>
        <v>#DIV/0!</v>
      </c>
      <c r="D28" s="85" t="e">
        <f>AVERAGEIF(Taulukko1[Alueellisuus],"a)*",Taulukko1[Kesto (min) / tapaaminen])</f>
        <v>#DIV/0!</v>
      </c>
      <c r="E28" s="86">
        <f>SUMIF(Taulukko1[Alueellisuus],"a)*",Taulukko1[Kokonais-kesto (min)])/60</f>
        <v>0</v>
      </c>
      <c r="F28" s="84">
        <f>SUMIF(Taulukko1[Alueellisuus],"a)*",Taulukko1[Tapaamis-kerrat /lapsi])</f>
        <v>0</v>
      </c>
      <c r="G28" s="84">
        <f>SUMIF(Taulukko1[Alueellisuus],"a)*",Taulukko1[Kävijämäärä a) lapset])</f>
        <v>0</v>
      </c>
      <c r="H28" s="84">
        <f>SUMIF(Taulukko1[Alueellisuus],"a)*",Taulukko1[Kävijämäärä b) aikuiset])</f>
        <v>0</v>
      </c>
      <c r="I28" s="84">
        <f>SUMIF(Taulukko1[Alueellisuus],"a)*",Taulukko1[Kokonais-kävijämäärä])</f>
        <v>0</v>
      </c>
      <c r="J28" s="85" t="e">
        <f>AVERAGEIF(Taulukko1[Alueellisuus],"a)*",Taulukko1[Kokonais-kävijämäärä])</f>
        <v>#DIV/0!</v>
      </c>
      <c r="K28" s="84">
        <f>SUMIF(Taulukko1[Alueellisuus],"a)*",Taulukko1[Asiakaskontakti (lkm)])</f>
        <v>0</v>
      </c>
      <c r="L28" s="58" t="e">
        <f>SUMIF(Taulukko1[Alueellisuus],"a)*",Taulukko1[Asiakaskontakti (lkm)])/SUM(Taulukko1[Asiakaskontakti (lkm)])</f>
        <v>#DIV/0!</v>
      </c>
      <c r="M28" s="92" t="s">
        <v>124</v>
      </c>
    </row>
    <row r="29" spans="1:13" ht="15.75" x14ac:dyDescent="0.25">
      <c r="A29" s="67" t="s">
        <v>125</v>
      </c>
      <c r="B29" s="85">
        <f>SUMIF(Taulukko1[Alueellisuus],"b)*",Taulukko1[Tapahtumien määrä])</f>
        <v>0</v>
      </c>
      <c r="C29" s="58" t="e">
        <f>(SUMIF(Taulukko1[Alueellisuus],"b)*",Taulukko1[Tapahtumien määrä]))/SUM(Taulukko1[Tapahtumien määrä])</f>
        <v>#DIV/0!</v>
      </c>
      <c r="D29" s="85" t="e">
        <f>AVERAGEIF(Taulukko1[Alueellisuus],"b)*",Taulukko1[Kesto (min) / tapaaminen])</f>
        <v>#DIV/0!</v>
      </c>
      <c r="E29" s="86">
        <f>SUMIF(Taulukko1[Alueellisuus],"b)*",Taulukko1[Kokonais-kesto (min)])/60</f>
        <v>0</v>
      </c>
      <c r="F29" s="84">
        <f>SUMIF(Taulukko1[Alueellisuus],"b)*",Taulukko1[Tapaamis-kerrat /lapsi])</f>
        <v>0</v>
      </c>
      <c r="G29" s="84">
        <f>SUMIF(Taulukko1[Alueellisuus],"b)*",Taulukko1[Kävijämäärä a) lapset])</f>
        <v>0</v>
      </c>
      <c r="H29" s="84">
        <f>SUMIF(Taulukko1[Alueellisuus],"b)*",Taulukko1[Kävijämäärä b) aikuiset])</f>
        <v>0</v>
      </c>
      <c r="I29" s="84">
        <f>SUMIF(Taulukko1[Alueellisuus],"b)*",Taulukko1[Kokonais-kävijämäärä])</f>
        <v>0</v>
      </c>
      <c r="J29" s="85" t="e">
        <f>AVERAGEIF(Taulukko1[Alueellisuus],"b)*",Taulukko1[Kokonais-kävijämäärä])</f>
        <v>#DIV/0!</v>
      </c>
      <c r="K29" s="84">
        <f>SUMIF(Taulukko1[Alueellisuus],"b)*",Taulukko1[Asiakaskontakti (lkm)])</f>
        <v>0</v>
      </c>
      <c r="L29" s="58" t="e">
        <f>SUMIF(Taulukko1[Alueellisuus],"b)*",Taulukko1[Asiakaskontakti (lkm)])/SUM(Taulukko1[Asiakaskontakti (lkm)])</f>
        <v>#DIV/0!</v>
      </c>
      <c r="M29" s="92" t="s">
        <v>125</v>
      </c>
    </row>
    <row r="30" spans="1:13" ht="15.75" x14ac:dyDescent="0.25">
      <c r="A30" s="67" t="s">
        <v>126</v>
      </c>
      <c r="B30" s="85">
        <f>SUMIF(Taulukko1[Alueellisuus],"c)*",Taulukko1[Tapahtumien määrä])</f>
        <v>0</v>
      </c>
      <c r="C30" s="58" t="e">
        <f>(SUMIF(Taulukko1[Alueellisuus],"c)*",Taulukko1[Tapahtumien määrä]))/SUM(Taulukko1[Tapahtumien määrä])</f>
        <v>#DIV/0!</v>
      </c>
      <c r="D30" s="85" t="e">
        <f>AVERAGEIF(Taulukko1[Alueellisuus],"c)*",Taulukko1[Kesto (min) / tapaaminen])</f>
        <v>#DIV/0!</v>
      </c>
      <c r="E30" s="86">
        <f>SUMIF(Taulukko1[Alueellisuus],"c)*",Taulukko1[Kokonais-kesto (min)])/60</f>
        <v>0</v>
      </c>
      <c r="F30" s="84">
        <f>SUMIF(Taulukko1[Alueellisuus],"c)*",Taulukko1[Tapaamis-kerrat /lapsi])</f>
        <v>0</v>
      </c>
      <c r="G30" s="84">
        <f>SUMIF(Taulukko1[Alueellisuus],"c)*",Taulukko1[Kävijämäärä a) lapset])</f>
        <v>0</v>
      </c>
      <c r="H30" s="84">
        <f>SUMIF(Taulukko1[Alueellisuus],"c)*",Taulukko1[Kävijämäärä b) aikuiset])</f>
        <v>0</v>
      </c>
      <c r="I30" s="84">
        <f>SUMIF(Taulukko1[Alueellisuus],"c)*",Taulukko1[Kokonais-kävijämäärä])</f>
        <v>0</v>
      </c>
      <c r="J30" s="85" t="e">
        <f>AVERAGEIF(Taulukko1[Alueellisuus],"c)*",Taulukko1[Kokonais-kävijämäärä])</f>
        <v>#DIV/0!</v>
      </c>
      <c r="K30" s="84">
        <f>SUMIF(Taulukko1[Alueellisuus],"c)*",Taulukko1[Asiakaskontakti (lkm)])</f>
        <v>0</v>
      </c>
      <c r="L30" s="58" t="e">
        <f>SUMIF(Taulukko1[Alueellisuus],"c)*",Taulukko1[Asiakaskontakti (lkm)])/SUM(Taulukko1[Asiakaskontakti (lkm)])</f>
        <v>#DIV/0!</v>
      </c>
      <c r="M30" s="92" t="s">
        <v>126</v>
      </c>
    </row>
    <row r="31" spans="1:13" ht="15.75" x14ac:dyDescent="0.25">
      <c r="A31" s="67" t="s">
        <v>127</v>
      </c>
      <c r="B31" s="85">
        <f>SUMIF(Taulukko1[Alueellisuus],"d)*",Taulukko1[Tapahtumien määrä])</f>
        <v>0</v>
      </c>
      <c r="C31" s="58" t="e">
        <f>(SUMIF(Taulukko1[Alueellisuus],"d)*",Taulukko1[Tapahtumien määrä]))/SUM(Taulukko1[Tapahtumien määrä])</f>
        <v>#DIV/0!</v>
      </c>
      <c r="D31" s="85" t="e">
        <f>AVERAGEIF(Taulukko1[Alueellisuus],"d)*",Taulukko1[Kesto (min) / tapaaminen])</f>
        <v>#DIV/0!</v>
      </c>
      <c r="E31" s="86">
        <f>SUMIF(Taulukko1[Alueellisuus],"d)*",Taulukko1[Kokonais-kesto (min)])/60</f>
        <v>0</v>
      </c>
      <c r="F31" s="84">
        <f>SUMIF(Taulukko1[Alueellisuus],"d)*",Taulukko1[Tapaamis-kerrat /lapsi])</f>
        <v>0</v>
      </c>
      <c r="G31" s="84">
        <f>SUMIF(Taulukko1[Alueellisuus],"d)*",Taulukko1[Kävijämäärä a) lapset])</f>
        <v>0</v>
      </c>
      <c r="H31" s="84">
        <f>SUMIF(Taulukko1[Alueellisuus],"d)*",Taulukko1[Kävijämäärä b) aikuiset])</f>
        <v>0</v>
      </c>
      <c r="I31" s="84">
        <f>SUMIF(Taulukko1[Alueellisuus],"d)*",Taulukko1[Kokonais-kävijämäärä])</f>
        <v>0</v>
      </c>
      <c r="J31" s="85" t="e">
        <f>AVERAGEIF(Taulukko1[Alueellisuus],"d)*",Taulukko1[Kokonais-kävijämäärä])</f>
        <v>#DIV/0!</v>
      </c>
      <c r="K31" s="84">
        <f>SUMIF(Taulukko1[Alueellisuus],"d)*",Taulukko1[Asiakaskontakti (lkm)])</f>
        <v>0</v>
      </c>
      <c r="L31" s="58" t="e">
        <f>SUMIF(Taulukko1[Alueellisuus],"d)*",Taulukko1[Asiakaskontakti (lkm)])/SUM(Taulukko1[Asiakaskontakti (lkm)])</f>
        <v>#DIV/0!</v>
      </c>
      <c r="M31" s="92" t="s">
        <v>127</v>
      </c>
    </row>
    <row r="32" spans="1:13" x14ac:dyDescent="0.25">
      <c r="A32" s="63" t="s">
        <v>54</v>
      </c>
      <c r="B32" s="122" t="s">
        <v>88</v>
      </c>
      <c r="C32" s="91"/>
      <c r="D32" s="91"/>
    </row>
    <row r="33" spans="1:13" ht="15.75" x14ac:dyDescent="0.25">
      <c r="A33" s="67" t="s">
        <v>107</v>
      </c>
      <c r="B33" s="85">
        <f>SUMIF(Taulukko1[Ikäryhmä],"a)*",Taulukko1[Tapahtumien määrä])</f>
        <v>0</v>
      </c>
      <c r="C33" s="58" t="e">
        <f>(SUMIF(Taulukko1[Ikäryhmä],"a)*",Taulukko1[Tapahtumien määrä]))/SUM(Taulukko1[Tapahtumien määrä])</f>
        <v>#DIV/0!</v>
      </c>
      <c r="D33" s="85" t="e">
        <f>AVERAGEIF(Taulukko1[Ikäryhmä],"a)*",Taulukko1[Kesto (min) / tapaaminen])</f>
        <v>#DIV/0!</v>
      </c>
      <c r="E33" s="86">
        <f>SUMIF(Taulukko1[Ikäryhmä],"a)*",Taulukko1[Kokonais-kesto (min)])/60</f>
        <v>0</v>
      </c>
      <c r="F33" s="84">
        <f>SUMIF(Taulukko1[Ikäryhmä],"a)*",Taulukko1[Tapaamis-kerrat /lapsi])</f>
        <v>0</v>
      </c>
      <c r="G33" s="84">
        <f>SUMIF(Taulukko1[Ikäryhmä],"a)*",Taulukko1[Kävijämäärä a) lapset])</f>
        <v>0</v>
      </c>
      <c r="H33" s="84">
        <f>SUMIF(Taulukko1[Ikäryhmä],"a)*",Taulukko1[Kävijämäärä b) aikuiset])</f>
        <v>0</v>
      </c>
      <c r="I33" s="84">
        <f>SUMIF(Taulukko1[Ikäryhmä],"a)*",Taulukko1[Kokonais-kävijämäärä])</f>
        <v>0</v>
      </c>
      <c r="J33" s="85" t="e">
        <f>AVERAGEIF(Taulukko1[Ikäryhmä],"a)*",Taulukko1[Kokonais-kävijämäärä])</f>
        <v>#DIV/0!</v>
      </c>
      <c r="K33" s="84">
        <f>SUMIF(Taulukko1[Ikäryhmä],"a)*",Taulukko1[Asiakaskontakti (lkm)])</f>
        <v>0</v>
      </c>
      <c r="L33" s="58" t="e">
        <f>SUMIF(Taulukko1[Ikäryhmä],"a)*",Taulukko1[Asiakaskontakti (lkm)])/SUM(Taulukko1[Asiakaskontakti (lkm)])</f>
        <v>#DIV/0!</v>
      </c>
      <c r="M33" s="92" t="s">
        <v>107</v>
      </c>
    </row>
    <row r="34" spans="1:13" ht="15.75" x14ac:dyDescent="0.25">
      <c r="A34" s="123" t="s">
        <v>129</v>
      </c>
      <c r="B34" s="85">
        <f>SUMIF(Taulukko1[Ikäryhmä],"b)*",Taulukko1[Tapahtumien määrä])</f>
        <v>0</v>
      </c>
      <c r="C34" s="58" t="e">
        <f>(SUMIF(Taulukko1[Ikäryhmä],"b)*",Taulukko1[Tapahtumien määrä]))/SUM(Taulukko1[Tapahtumien määrä])</f>
        <v>#DIV/0!</v>
      </c>
      <c r="D34" s="85" t="e">
        <f>AVERAGEIF(Taulukko1[Ikäryhmä],"b)*",Taulukko1[Kesto (min) / tapaaminen])</f>
        <v>#DIV/0!</v>
      </c>
      <c r="E34" s="86">
        <f>SUMIF(Taulukko1[Ikäryhmä],"b)*",Taulukko1[Kokonais-kesto (min)])/60</f>
        <v>0</v>
      </c>
      <c r="F34" s="84">
        <f>SUMIF(Taulukko1[Ikäryhmä],"b)*",Taulukko1[Tapaamis-kerrat /lapsi])</f>
        <v>0</v>
      </c>
      <c r="G34" s="84">
        <f>SUMIF(Taulukko1[Ikäryhmä],"b)*",Taulukko1[Kävijämäärä a) lapset])</f>
        <v>0</v>
      </c>
      <c r="H34" s="84">
        <f>SUMIF(Taulukko1[Ikäryhmä],"b)*",Taulukko1[Kävijämäärä b) aikuiset])</f>
        <v>0</v>
      </c>
      <c r="I34" s="84">
        <f>SUMIF(Taulukko1[Ikäryhmä],"b)*",Taulukko1[Kokonais-kävijämäärä])</f>
        <v>0</v>
      </c>
      <c r="J34" s="85" t="e">
        <f>AVERAGEIF(Taulukko1[Ikäryhmä],"b)*",Taulukko1[Kokonais-kävijämäärä])</f>
        <v>#DIV/0!</v>
      </c>
      <c r="K34" s="84">
        <f>SUMIF(Taulukko1[Ikäryhmä],"b)*",Taulukko1[Asiakaskontakti (lkm)])</f>
        <v>0</v>
      </c>
      <c r="L34" s="58" t="e">
        <f>SUMIF(Taulukko1[Ikäryhmä],"b)*",Taulukko1[Asiakaskontakti (lkm)])/SUM(Taulukko1[Asiakaskontakti (lkm)])</f>
        <v>#DIV/0!</v>
      </c>
      <c r="M34" s="124" t="s">
        <v>129</v>
      </c>
    </row>
    <row r="35" spans="1:13" ht="15.75" x14ac:dyDescent="0.25">
      <c r="A35" s="123" t="s">
        <v>130</v>
      </c>
      <c r="B35" s="85">
        <f>SUMIF(Taulukko1[Ikäryhmä],"c)*",Taulukko1[Tapahtumien määrä])</f>
        <v>0</v>
      </c>
      <c r="C35" s="58" t="e">
        <f>(SUMIF(Taulukko1[Ikäryhmä],"c)*",Taulukko1[Tapahtumien määrä]))/SUM(Taulukko1[Tapahtumien määrä])</f>
        <v>#DIV/0!</v>
      </c>
      <c r="D35" s="85" t="e">
        <f>AVERAGEIF(Taulukko1[Ikäryhmä],"c)*",Taulukko1[Kesto (min) / tapaaminen])</f>
        <v>#DIV/0!</v>
      </c>
      <c r="E35" s="86">
        <f>SUMIF(Taulukko1[Ikäryhmä],"c)*",Taulukko1[Kokonais-kesto (min)])/60</f>
        <v>0</v>
      </c>
      <c r="F35" s="84">
        <f>SUMIF(Taulukko1[Ikäryhmä],"c)*",Taulukko1[Tapaamis-kerrat /lapsi])</f>
        <v>0</v>
      </c>
      <c r="G35" s="84">
        <f>SUMIF(Taulukko1[Ikäryhmä],"c)*",Taulukko1[Kävijämäärä a) lapset])</f>
        <v>0</v>
      </c>
      <c r="H35" s="84">
        <f>SUMIF(Taulukko1[Ikäryhmä],"c)*",Taulukko1[Kävijämäärä b) aikuiset])</f>
        <v>0</v>
      </c>
      <c r="I35" s="84">
        <f>SUMIF(Taulukko1[Ikäryhmä],"c)*",Taulukko1[Kokonais-kävijämäärä])</f>
        <v>0</v>
      </c>
      <c r="J35" s="85" t="e">
        <f>AVERAGEIF(Taulukko1[Ikäryhmä],"c)*",Taulukko1[Kokonais-kävijämäärä])</f>
        <v>#DIV/0!</v>
      </c>
      <c r="K35" s="84">
        <f>SUMIF(Taulukko1[Ikäryhmä],"c)*",Taulukko1[Asiakaskontakti (lkm)])</f>
        <v>0</v>
      </c>
      <c r="L35" s="58" t="e">
        <f>SUMIF(Taulukko1[Ikäryhmä],"c)*",Taulukko1[Asiakaskontakti (lkm)])/SUM(Taulukko1[Asiakaskontakti (lkm)])</f>
        <v>#DIV/0!</v>
      </c>
      <c r="M35" s="124" t="s">
        <v>130</v>
      </c>
    </row>
    <row r="36" spans="1:13" ht="15.75" x14ac:dyDescent="0.25">
      <c r="A36" s="123" t="s">
        <v>131</v>
      </c>
      <c r="B36" s="85">
        <f>SUMIF(Taulukko1[Ikäryhmä],"d)*",Taulukko1[Tapahtumien määrä])</f>
        <v>0</v>
      </c>
      <c r="C36" s="58" t="e">
        <f>(SUMIF(Taulukko1[Ikäryhmä],"d)*",Taulukko1[Tapahtumien määrä]))/SUM(Taulukko1[Tapahtumien määrä])</f>
        <v>#DIV/0!</v>
      </c>
      <c r="D36" s="85" t="e">
        <f>AVERAGEIF(Taulukko1[Ikäryhmä],"d)*",Taulukko1[Kesto (min) / tapaaminen])</f>
        <v>#DIV/0!</v>
      </c>
      <c r="E36" s="86">
        <f>SUMIF(Taulukko1[Ikäryhmä],"d)*",Taulukko1[Kokonais-kesto (min)])/60</f>
        <v>0</v>
      </c>
      <c r="F36" s="84">
        <f>SUMIF(Taulukko1[Ikäryhmä],"d)*",Taulukko1[Tapaamis-kerrat /lapsi])</f>
        <v>0</v>
      </c>
      <c r="G36" s="84">
        <f>SUMIF(Taulukko1[Ikäryhmä],"d)*",Taulukko1[Kävijämäärä a) lapset])</f>
        <v>0</v>
      </c>
      <c r="H36" s="84">
        <f>SUMIF(Taulukko1[Ikäryhmä],"d)*",Taulukko1[Kävijämäärä b) aikuiset])</f>
        <v>0</v>
      </c>
      <c r="I36" s="84">
        <f>SUMIF(Taulukko1[Ikäryhmä],"d)*",Taulukko1[Kokonais-kävijämäärä])</f>
        <v>0</v>
      </c>
      <c r="J36" s="85" t="e">
        <f>AVERAGEIF(Taulukko1[Ikäryhmä],"d)*",Taulukko1[Kokonais-kävijämäärä])</f>
        <v>#DIV/0!</v>
      </c>
      <c r="K36" s="84">
        <f>SUMIF(Taulukko1[Ikäryhmä],"d)*",Taulukko1[Asiakaskontakti (lkm)])</f>
        <v>0</v>
      </c>
      <c r="L36" s="58" t="e">
        <f>SUMIF(Taulukko1[Ikäryhmä],"d)*",Taulukko1[Asiakaskontakti (lkm)])/SUM(Taulukko1[Asiakaskontakti (lkm)])</f>
        <v>#DIV/0!</v>
      </c>
      <c r="M36" s="124" t="s">
        <v>131</v>
      </c>
    </row>
    <row r="37" spans="1:13" ht="15.75" x14ac:dyDescent="0.25">
      <c r="A37" s="67" t="s">
        <v>132</v>
      </c>
      <c r="B37" s="85">
        <f>SUMIF(Taulukko1[Ikäryhmä],"e)*",Taulukko1[Tapahtumien määrä])</f>
        <v>0</v>
      </c>
      <c r="C37" s="58" t="e">
        <f>(SUMIF(Taulukko1[Ikäryhmä],"e)*",Taulukko1[Tapahtumien määrä]))/SUM(Taulukko1[Tapahtumien määrä])</f>
        <v>#DIV/0!</v>
      </c>
      <c r="D37" s="85" t="e">
        <f>AVERAGEIF(Taulukko1[Ikäryhmä],"e)*",Taulukko1[Kesto (min) / tapaaminen])</f>
        <v>#DIV/0!</v>
      </c>
      <c r="E37" s="86">
        <f>SUMIF(Taulukko1[Ikäryhmä],"e)*",Taulukko1[Kokonais-kesto (min)])/60</f>
        <v>0</v>
      </c>
      <c r="F37" s="84">
        <f>SUMIF(Taulukko1[Ikäryhmä],"e)*",Taulukko1[Tapaamis-kerrat /lapsi])</f>
        <v>0</v>
      </c>
      <c r="G37" s="84">
        <f>SUMIF(Taulukko1[Ikäryhmä],"e)*",Taulukko1[Kävijämäärä a) lapset])</f>
        <v>0</v>
      </c>
      <c r="H37" s="84">
        <f>SUMIF(Taulukko1[Ikäryhmä],"e)*",Taulukko1[Kävijämäärä b) aikuiset])</f>
        <v>0</v>
      </c>
      <c r="I37" s="84">
        <f>SUMIF(Taulukko1[Ikäryhmä],"e)*",Taulukko1[Kokonais-kävijämäärä])</f>
        <v>0</v>
      </c>
      <c r="J37" s="85" t="e">
        <f>AVERAGEIF(Taulukko1[Ikäryhmä],"e)*",Taulukko1[Kokonais-kävijämäärä])</f>
        <v>#DIV/0!</v>
      </c>
      <c r="K37" s="84">
        <f>SUMIF(Taulukko1[Ikäryhmä],"e)*",Taulukko1[Asiakaskontakti (lkm)])</f>
        <v>0</v>
      </c>
      <c r="L37" s="58" t="e">
        <f>SUMIF(Taulukko1[Ikäryhmä],"e)*",Taulukko1[Asiakaskontakti (lkm)])/SUM(Taulukko1[Asiakaskontakti (lkm)])</f>
        <v>#DIV/0!</v>
      </c>
      <c r="M37" s="92" t="s">
        <v>132</v>
      </c>
    </row>
    <row r="38" spans="1:13" ht="15.75" x14ac:dyDescent="0.25">
      <c r="A38" s="67" t="s">
        <v>133</v>
      </c>
      <c r="B38" s="85">
        <f>SUMIF(Taulukko1[Ikäryhmä],"f)*",Taulukko1[Tapahtumien määrä])</f>
        <v>0</v>
      </c>
      <c r="C38" s="58" t="e">
        <f>(SUMIF(Taulukko1[Ikäryhmä],"f)*",Taulukko1[Tapahtumien määrä]))/SUM(Taulukko1[Tapahtumien määrä])</f>
        <v>#DIV/0!</v>
      </c>
      <c r="D38" s="85" t="e">
        <f>AVERAGEIF(Taulukko1[Ikäryhmä],"f)*",Taulukko1[Kesto (min) / tapaaminen])</f>
        <v>#DIV/0!</v>
      </c>
      <c r="E38" s="86">
        <f>SUMIF(Taulukko1[Ikäryhmä],"f)*",Taulukko1[Kokonais-kesto (min)])/60</f>
        <v>0</v>
      </c>
      <c r="F38" s="84">
        <f>SUMIF(Taulukko1[Ikäryhmä],"f)*",Taulukko1[Tapaamis-kerrat /lapsi])</f>
        <v>0</v>
      </c>
      <c r="G38" s="84">
        <f>SUMIF(Taulukko1[Ikäryhmä],"f)*",Taulukko1[Kävijämäärä a) lapset])</f>
        <v>0</v>
      </c>
      <c r="H38" s="84">
        <f>SUMIF(Taulukko1[Ikäryhmä],"f)*",Taulukko1[Kävijämäärä b) aikuiset])</f>
        <v>0</v>
      </c>
      <c r="I38" s="84">
        <f>SUMIF(Taulukko1[Ikäryhmä],"f)*",Taulukko1[Kokonais-kävijämäärä])</f>
        <v>0</v>
      </c>
      <c r="J38" s="85" t="e">
        <f>AVERAGEIF(Taulukko1[Ikäryhmä],"f)*",Taulukko1[Kokonais-kävijämäärä])</f>
        <v>#DIV/0!</v>
      </c>
      <c r="K38" s="84">
        <f>SUMIF(Taulukko1[Ikäryhmä],"f)*",Taulukko1[Asiakaskontakti (lkm)])</f>
        <v>0</v>
      </c>
      <c r="L38" s="58" t="e">
        <f>SUMIF(Taulukko1[Ikäryhmä],"f)*",Taulukko1[Asiakaskontakti (lkm)])/SUM(Taulukko1[Asiakaskontakti (lkm)])</f>
        <v>#DIV/0!</v>
      </c>
      <c r="M38" s="92" t="s">
        <v>133</v>
      </c>
    </row>
    <row r="39" spans="1:13" ht="15.75" x14ac:dyDescent="0.25">
      <c r="A39" s="67" t="s">
        <v>134</v>
      </c>
      <c r="B39" s="85">
        <f>SUMIF(Taulukko1[Ikäryhmä],"g)*",Taulukko1[Tapahtumien määrä])</f>
        <v>0</v>
      </c>
      <c r="C39" s="58" t="e">
        <f>(SUMIF(Taulukko1[Ikäryhmä],"g)*",Taulukko1[Tapahtumien määrä]))/SUM(Taulukko1[Tapahtumien määrä])</f>
        <v>#DIV/0!</v>
      </c>
      <c r="D39" s="85" t="e">
        <f>AVERAGEIF(Taulukko1[Ikäryhmä],"g)*",Taulukko1[Kesto (min) / tapaaminen])</f>
        <v>#DIV/0!</v>
      </c>
      <c r="E39" s="86">
        <f>SUMIF(Taulukko1[Ikäryhmä],"g)*",Taulukko1[Kokonais-kesto (min)])/60</f>
        <v>0</v>
      </c>
      <c r="F39" s="84">
        <f>SUMIF(Taulukko1[Ikäryhmä],"g)*",Taulukko1[Tapaamis-kerrat /lapsi])</f>
        <v>0</v>
      </c>
      <c r="G39" s="84">
        <f>SUMIF(Taulukko1[Ikäryhmä],"g)*",Taulukko1[Kävijämäärä a) lapset])</f>
        <v>0</v>
      </c>
      <c r="H39" s="84">
        <f>SUMIF(Taulukko1[Ikäryhmä],"g)*",Taulukko1[Kävijämäärä b) aikuiset])</f>
        <v>0</v>
      </c>
      <c r="I39" s="84">
        <f>SUMIF(Taulukko1[Ikäryhmä],"g)*",Taulukko1[Kokonais-kävijämäärä])</f>
        <v>0</v>
      </c>
      <c r="J39" s="85" t="e">
        <f>AVERAGEIF(Taulukko1[Ikäryhmä],"g)*",Taulukko1[Kokonais-kävijämäärä])</f>
        <v>#DIV/0!</v>
      </c>
      <c r="K39" s="84">
        <f>SUMIF(Taulukko1[Ikäryhmä],"g)*",Taulukko1[Asiakaskontakti (lkm)])</f>
        <v>0</v>
      </c>
      <c r="L39" s="58" t="e">
        <f>SUMIF(Taulukko1[Ikäryhmä],"g)*",Taulukko1[Asiakaskontakti (lkm)])/SUM(Taulukko1[Asiakaskontakti (lkm)])</f>
        <v>#DIV/0!</v>
      </c>
      <c r="M39" s="92" t="s">
        <v>134</v>
      </c>
    </row>
    <row r="40" spans="1:13" ht="15.75" x14ac:dyDescent="0.25">
      <c r="A40" s="67" t="s">
        <v>135</v>
      </c>
      <c r="B40" s="85">
        <f>SUMIF(Taulukko1[Ikäryhmä],"h)*",Taulukko1[Tapahtumien määrä])</f>
        <v>0</v>
      </c>
      <c r="C40" s="58" t="e">
        <f>(SUMIF(Taulukko1[Ikäryhmä],"h)*",Taulukko1[Tapahtumien määrä]))/SUM(Taulukko1[Tapahtumien määrä])</f>
        <v>#DIV/0!</v>
      </c>
      <c r="D40" s="85" t="e">
        <f>AVERAGEIF(Taulukko1[Ikäryhmä],"h)*",Taulukko1[Kesto (min) / tapaaminen])</f>
        <v>#DIV/0!</v>
      </c>
      <c r="E40" s="86">
        <f>SUMIF(Taulukko1[Ikäryhmä],"h)*",Taulukko1[Kokonais-kesto (min)])/60</f>
        <v>0</v>
      </c>
      <c r="F40" s="84">
        <f>SUMIF(Taulukko1[Ikäryhmä],"h)*",Taulukko1[Tapaamis-kerrat /lapsi])</f>
        <v>0</v>
      </c>
      <c r="G40" s="84">
        <f>SUMIF(Taulukko1[Ikäryhmä],"h)*",Taulukko1[Kävijämäärä a) lapset])</f>
        <v>0</v>
      </c>
      <c r="H40" s="84">
        <f>SUMIF(Taulukko1[Ikäryhmä],"h)*",Taulukko1[Kävijämäärä b) aikuiset])</f>
        <v>0</v>
      </c>
      <c r="I40" s="84">
        <f>SUMIF(Taulukko1[Ikäryhmä],"h)*",Taulukko1[Kokonais-kävijämäärä])</f>
        <v>0</v>
      </c>
      <c r="J40" s="85" t="e">
        <f>AVERAGEIF(Taulukko1[Ikäryhmä],"h)*",Taulukko1[Kokonais-kävijämäärä])</f>
        <v>#DIV/0!</v>
      </c>
      <c r="K40" s="84">
        <f>SUMIF(Taulukko1[Ikäryhmä],"h)*",Taulukko1[Asiakaskontakti (lkm)])</f>
        <v>0</v>
      </c>
      <c r="L40" s="58" t="e">
        <f>SUMIF(Taulukko1[Ikäryhmä],"h)*",Taulukko1[Asiakaskontakti (lkm)])/SUM(Taulukko1[Asiakaskontakti (lkm)])</f>
        <v>#DIV/0!</v>
      </c>
      <c r="M40" s="92" t="s">
        <v>135</v>
      </c>
    </row>
    <row r="41" spans="1:13" x14ac:dyDescent="0.25">
      <c r="A41" s="125" t="s">
        <v>136</v>
      </c>
      <c r="B41" s="85">
        <f>SUMIF(Taulukko1[Ikäryhmä],"i)*",Taulukko1[Tapahtumien määrä])</f>
        <v>0</v>
      </c>
      <c r="C41" s="58" t="e">
        <f>(SUMIF(Taulukko1[Ikäryhmä],"i)*",Taulukko1[Tapahtumien määrä]))/SUM(Taulukko1[Tapahtumien määrä])</f>
        <v>#DIV/0!</v>
      </c>
      <c r="D41" s="85" t="e">
        <f>AVERAGEIF(Taulukko1[Ikäryhmä],"i)*",Taulukko1[Kesto (min) / tapaaminen])</f>
        <v>#DIV/0!</v>
      </c>
      <c r="E41" s="86">
        <f>SUMIF(Taulukko1[Ikäryhmä],"i)*",Taulukko1[Kokonais-kesto (min)])/60</f>
        <v>0</v>
      </c>
      <c r="F41" s="84">
        <f>SUMIF(Taulukko1[Ikäryhmä],"i)*",Taulukko1[Tapaamis-kerrat /lapsi])</f>
        <v>0</v>
      </c>
      <c r="G41" s="84">
        <f>SUMIF(Taulukko1[Ikäryhmä],"i)*",Taulukko1[Kävijämäärä a) lapset])</f>
        <v>0</v>
      </c>
      <c r="H41" s="84">
        <f>SUMIF(Taulukko1[Ikäryhmä],"i)*",Taulukko1[Kävijämäärä b) aikuiset])</f>
        <v>0</v>
      </c>
      <c r="I41" s="84">
        <f>SUMIF(Taulukko1[Ikäryhmä],"i)*",Taulukko1[Kokonais-kävijämäärä])</f>
        <v>0</v>
      </c>
      <c r="J41" s="85" t="e">
        <f>AVERAGEIF(Taulukko1[Ikäryhmä],"i)*",Taulukko1[Kokonais-kävijämäärä])</f>
        <v>#DIV/0!</v>
      </c>
      <c r="K41" s="84">
        <f>SUMIF(Taulukko1[Ikäryhmä],"i)*",Taulukko1[Asiakaskontakti (lkm)])</f>
        <v>0</v>
      </c>
      <c r="L41" s="58" t="e">
        <f>SUMIF(Taulukko1[Ikäryhmä],"i)*",Taulukko1[Asiakaskontakti (lkm)])/SUM(Taulukko1[Asiakaskontakti (lkm)])</f>
        <v>#DIV/0!</v>
      </c>
      <c r="M41" s="83" t="s">
        <v>136</v>
      </c>
    </row>
    <row r="42" spans="1:13" x14ac:dyDescent="0.25">
      <c r="A42" s="61" t="s">
        <v>140</v>
      </c>
      <c r="B42" s="85">
        <f>SUMIF(Taulukko1[Ikäryhmä],"j)*",Taulukko1[Tapahtumien määrä])</f>
        <v>0</v>
      </c>
      <c r="C42" s="58" t="e">
        <f>(SUMIF(Taulukko1[Ikäryhmä],"j)*",Taulukko1[Tapahtumien määrä]))/SUM(Taulukko1[Tapahtumien määrä])</f>
        <v>#DIV/0!</v>
      </c>
      <c r="D42" s="85" t="e">
        <f>AVERAGEIF(Taulukko1[Ikäryhmä],"j)*",Taulukko1[Kesto (min) / tapaaminen])</f>
        <v>#DIV/0!</v>
      </c>
      <c r="E42" s="86">
        <f>SUMIF(Taulukko1[Ikäryhmä],"j)*",Taulukko1[Kokonais-kesto (min)])/60</f>
        <v>0</v>
      </c>
      <c r="F42" s="84">
        <f>SUMIF(Taulukko1[Ikäryhmä],"j)*",Taulukko1[Tapaamis-kerrat /lapsi])</f>
        <v>0</v>
      </c>
      <c r="G42" s="84">
        <f>SUMIF(Taulukko1[Ikäryhmä],"j)*",Taulukko1[Kävijämäärä a) lapset])</f>
        <v>0</v>
      </c>
      <c r="H42" s="84">
        <f>SUMIF(Taulukko1[Ikäryhmä],"j)*",Taulukko1[Kävijämäärä b) aikuiset])</f>
        <v>0</v>
      </c>
      <c r="I42" s="84">
        <f>SUMIF(Taulukko1[Ikäryhmä],"j)*",Taulukko1[Kokonais-kävijämäärä])</f>
        <v>0</v>
      </c>
      <c r="J42" s="85" t="e">
        <f>AVERAGEIF(Taulukko1[Ikäryhmä],"j)*",Taulukko1[Kokonais-kävijämäärä])</f>
        <v>#DIV/0!</v>
      </c>
      <c r="K42" s="84">
        <f>SUMIF(Taulukko1[Ikäryhmä],"j)*",Taulukko1[Asiakaskontakti (lkm)])</f>
        <v>0</v>
      </c>
      <c r="L42" s="58" t="e">
        <f>SUMIF(Taulukko1[Ikäryhmä],"j)*",Taulukko1[Asiakaskontakti (lkm)])/SUM(Taulukko1[Asiakaskontakti (lkm)])</f>
        <v>#DIV/0!</v>
      </c>
      <c r="M42" s="126" t="s">
        <v>140</v>
      </c>
    </row>
    <row r="43" spans="1:13" x14ac:dyDescent="0.25">
      <c r="A43" s="61" t="s">
        <v>137</v>
      </c>
      <c r="B43" s="85">
        <f>SUMIF(Taulukko1[Ikäryhmä],"k)*",Taulukko1[Tapahtumien määrä])</f>
        <v>0</v>
      </c>
      <c r="C43" s="58" t="e">
        <f>(SUMIF(Taulukko1[Ikäryhmä],"k)*",Taulukko1[Tapahtumien määrä]))/SUM(Taulukko1[Tapahtumien määrä])</f>
        <v>#DIV/0!</v>
      </c>
      <c r="D43" s="85" t="e">
        <f>AVERAGEIF(Taulukko1[Ikäryhmä],"k)*",Taulukko1[Kesto (min) / tapaaminen])</f>
        <v>#DIV/0!</v>
      </c>
      <c r="E43" s="86">
        <f>SUMIF(Taulukko1[Ikäryhmä],"k)*",Taulukko1[Kokonais-kesto (min)])/60</f>
        <v>0</v>
      </c>
      <c r="F43" s="84">
        <f>SUMIF(Taulukko1[Ikäryhmä],"k)*",Taulukko1[Tapaamis-kerrat /lapsi])</f>
        <v>0</v>
      </c>
      <c r="G43" s="84">
        <f>SUMIF(Taulukko1[Ikäryhmä],"k)*",Taulukko1[Kävijämäärä a) lapset])</f>
        <v>0</v>
      </c>
      <c r="H43" s="84">
        <f>SUMIF(Taulukko1[Ikäryhmä],"k)*",Taulukko1[Kävijämäärä b) aikuiset])</f>
        <v>0</v>
      </c>
      <c r="I43" s="84">
        <f>SUMIF(Taulukko1[Ikäryhmä],"k)*",Taulukko1[Kokonais-kävijämäärä])</f>
        <v>0</v>
      </c>
      <c r="J43" s="85" t="e">
        <f>AVERAGEIF(Taulukko1[Ikäryhmä],"k)*",Taulukko1[Kokonais-kävijämäärä])</f>
        <v>#DIV/0!</v>
      </c>
      <c r="K43" s="84">
        <f>SUMIF(Taulukko1[Ikäryhmä],"k)*",Taulukko1[Asiakaskontakti (lkm)])</f>
        <v>0</v>
      </c>
      <c r="L43" s="58" t="e">
        <f>SUMIF(Taulukko1[Ikäryhmä],"k)*",Taulukko1[Asiakaskontakti (lkm)])/SUM(Taulukko1[Asiakaskontakti (lkm)])</f>
        <v>#DIV/0!</v>
      </c>
      <c r="M43" s="126" t="s">
        <v>137</v>
      </c>
    </row>
    <row r="44" spans="1:13" x14ac:dyDescent="0.25">
      <c r="A44" s="61" t="s">
        <v>138</v>
      </c>
      <c r="B44" s="85">
        <f>SUMIF(Taulukko1[Ikäryhmä],"l)*",Taulukko1[Tapahtumien määrä])</f>
        <v>0</v>
      </c>
      <c r="C44" s="58" t="e">
        <f>(SUMIF(Taulukko1[Ikäryhmä],"l)*",Taulukko1[Tapahtumien määrä]))/SUM(Taulukko1[Tapahtumien määrä])</f>
        <v>#DIV/0!</v>
      </c>
      <c r="D44" s="85" t="e">
        <f>AVERAGEIF(Taulukko1[Ikäryhmä],"l)*",Taulukko1[Kesto (min) / tapaaminen])</f>
        <v>#DIV/0!</v>
      </c>
      <c r="E44" s="86">
        <f>SUMIF(Taulukko1[Ikäryhmä],"l)*",Taulukko1[Kokonais-kesto (min)])/60</f>
        <v>0</v>
      </c>
      <c r="F44" s="84">
        <f>SUMIF(Taulukko1[Ikäryhmä],"l)*",Taulukko1[Tapaamis-kerrat /lapsi])</f>
        <v>0</v>
      </c>
      <c r="G44" s="84">
        <f>SUMIF(Taulukko1[Ikäryhmä],"l)*",Taulukko1[Kävijämäärä a) lapset])</f>
        <v>0</v>
      </c>
      <c r="H44" s="84">
        <f>SUMIF(Taulukko1[Ikäryhmä],"l)*",Taulukko1[Kävijämäärä b) aikuiset])</f>
        <v>0</v>
      </c>
      <c r="I44" s="84">
        <f>SUMIF(Taulukko1[Ikäryhmä],"l)*",Taulukko1[Kokonais-kävijämäärä])</f>
        <v>0</v>
      </c>
      <c r="J44" s="85" t="e">
        <f>AVERAGEIF(Taulukko1[Ikäryhmä],"l)*",Taulukko1[Kokonais-kävijämäärä])</f>
        <v>#DIV/0!</v>
      </c>
      <c r="K44" s="84">
        <f>SUMIF(Taulukko1[Ikäryhmä],"l)*",Taulukko1[Asiakaskontakti (lkm)])</f>
        <v>0</v>
      </c>
      <c r="L44" s="58" t="e">
        <f>SUMIF(Taulukko1[Ikäryhmä],"l)*",Taulukko1[Asiakaskontakti (lkm)])/SUM(Taulukko1[Asiakaskontakti (lkm)])</f>
        <v>#DIV/0!</v>
      </c>
      <c r="M44" s="126" t="s">
        <v>138</v>
      </c>
    </row>
    <row r="45" spans="1:13" x14ac:dyDescent="0.25">
      <c r="A45" s="61" t="s">
        <v>139</v>
      </c>
      <c r="B45" s="85">
        <f>SUMIF(Taulukko1[Ikäryhmä],"m)*",Taulukko1[Tapahtumien määrä])</f>
        <v>0</v>
      </c>
      <c r="C45" s="58" t="e">
        <f>(SUMIF(Taulukko1[Ikäryhmä],"m)*",Taulukko1[Tapahtumien määrä]))/SUM(Taulukko1[Tapahtumien määrä])</f>
        <v>#DIV/0!</v>
      </c>
      <c r="D45" s="85" t="e">
        <f>AVERAGEIF(Taulukko1[Ikäryhmä],"m)*",Taulukko1[Kesto (min) / tapaaminen])</f>
        <v>#DIV/0!</v>
      </c>
      <c r="E45" s="86">
        <f>SUMIF(Taulukko1[Ikäryhmä],"m)*",Taulukko1[Kokonais-kesto (min)])/60</f>
        <v>0</v>
      </c>
      <c r="F45" s="84">
        <f>SUMIF(Taulukko1[Ikäryhmä],"m)*",Taulukko1[Tapaamis-kerrat /lapsi])</f>
        <v>0</v>
      </c>
      <c r="G45" s="84">
        <f>SUMIF(Taulukko1[Ikäryhmä],"m)*",Taulukko1[Kävijämäärä a) lapset])</f>
        <v>0</v>
      </c>
      <c r="H45" s="84">
        <f>SUMIF(Taulukko1[Ikäryhmä],"m)*",Taulukko1[Kävijämäärä b) aikuiset])</f>
        <v>0</v>
      </c>
      <c r="I45" s="84">
        <f>SUMIF(Taulukko1[Ikäryhmä],"m)*",Taulukko1[Kokonais-kävijämäärä])</f>
        <v>0</v>
      </c>
      <c r="J45" s="85" t="e">
        <f>AVERAGEIF(Taulukko1[Ikäryhmä],"m)*",Taulukko1[Kokonais-kävijämäärä])</f>
        <v>#DIV/0!</v>
      </c>
      <c r="K45" s="84">
        <f>SUMIF(Taulukko1[Ikäryhmä],"m)*",Taulukko1[Asiakaskontakti (lkm)])</f>
        <v>0</v>
      </c>
      <c r="L45" s="58" t="e">
        <f>SUMIF(Taulukko1[Ikäryhmä],"m)*",Taulukko1[Asiakaskontakti (lkm)])/SUM(Taulukko1[Asiakaskontakti (lkm)])</f>
        <v>#DIV/0!</v>
      </c>
      <c r="M45" s="126" t="s">
        <v>139</v>
      </c>
    </row>
    <row r="46" spans="1:13" ht="15.75" x14ac:dyDescent="0.25">
      <c r="A46" s="68" t="s">
        <v>54</v>
      </c>
      <c r="B46" s="91" t="s">
        <v>97</v>
      </c>
      <c r="C46" s="91"/>
      <c r="D46" s="91"/>
    </row>
    <row r="47" spans="1:13" ht="15.75" x14ac:dyDescent="0.25">
      <c r="A47" s="69" t="s">
        <v>104</v>
      </c>
      <c r="B47" s="85">
        <f>SUMIF(Taulukko1[ERITYISRYHMÄT],"a)*",Taulukko1[Tapahtumien määrä])</f>
        <v>0</v>
      </c>
      <c r="C47" s="58" t="e">
        <f>(SUMIF(Taulukko1[ERITYISRYHMÄT],"a)*",Taulukko1[Tapahtumien määrä]))/SUM(Taulukko1[Tapahtumien määrä])</f>
        <v>#DIV/0!</v>
      </c>
      <c r="D47" s="85" t="e">
        <f>AVERAGEIF(Taulukko1[ERITYISRYHMÄT],"a)*",Taulukko1[Kesto (min) / tapaaminen])</f>
        <v>#DIV/0!</v>
      </c>
      <c r="E47" s="86">
        <f>SUMIF(Taulukko1[ERITYISRYHMÄT],"a)*",Taulukko1[Kokonais-kesto (min)])/60</f>
        <v>0</v>
      </c>
      <c r="F47" s="84">
        <f>SUMIF(Taulukko1[ERITYISRYHMÄT],"a)*",Taulukko1[Tapaamis-kerrat /lapsi])</f>
        <v>0</v>
      </c>
      <c r="G47" s="84">
        <f>SUMIF(Taulukko1[ERITYISRYHMÄT],"a)*",Taulukko1[Kävijämäärä a) lapset])</f>
        <v>0</v>
      </c>
      <c r="H47" s="84">
        <f>SUMIF(Taulukko1[ERITYISRYHMÄT],"a)*",Taulukko1[Kävijämäärä b) aikuiset])</f>
        <v>0</v>
      </c>
      <c r="I47" s="84">
        <f>SUMIF(Taulukko1[ERITYISRYHMÄT],"a)*",Taulukko1[Kokonais-kävijämäärä])</f>
        <v>0</v>
      </c>
      <c r="J47" s="85" t="e">
        <f>AVERAGEIF(Taulukko1[ERITYISRYHMÄT],"a)*",Taulukko1[Kokonais-kävijämäärä])</f>
        <v>#DIV/0!</v>
      </c>
      <c r="K47" s="84">
        <f>SUMIF(Taulukko1[ERITYISRYHMÄT],"b)*",Taulukko1[Asiakaskontakti (lkm)])</f>
        <v>0</v>
      </c>
      <c r="L47" s="58" t="e">
        <f>SUMIF(Taulukko1[ERITYISRYHMÄT],"a)*",Taulukko1[Asiakaskontakti (lkm)])/SUM(Taulukko1[Asiakaskontakti (lkm)])</f>
        <v>#DIV/0!</v>
      </c>
      <c r="M47" s="93" t="s">
        <v>104</v>
      </c>
    </row>
    <row r="48" spans="1:13" ht="15.75" x14ac:dyDescent="0.25">
      <c r="A48" s="69" t="s">
        <v>105</v>
      </c>
      <c r="B48" s="85">
        <f>SUMIF(Taulukko1[ERITYISRYHMÄT],"b)*",Taulukko1[Tapahtumien määrä])</f>
        <v>0</v>
      </c>
      <c r="C48" s="58" t="e">
        <f>(SUMIF(Taulukko1[ERITYISRYHMÄT],"b)*",Taulukko1[Tapahtumien määrä]))/SUM(Taulukko1[Tapahtumien määrä])</f>
        <v>#DIV/0!</v>
      </c>
      <c r="D48" s="85" t="e">
        <f>AVERAGEIF(Taulukko1[ERITYISRYHMÄT],"b)*",Taulukko1[Kesto (min) / tapaaminen])</f>
        <v>#DIV/0!</v>
      </c>
      <c r="E48" s="86">
        <f>SUMIF(Taulukko1[ERITYISRYHMÄT],"b)*",Taulukko1[Kokonais-kesto (min)])/60</f>
        <v>0</v>
      </c>
      <c r="F48" s="84">
        <f>SUMIF(Taulukko1[ERITYISRYHMÄT],"b)*",Taulukko1[Tapaamis-kerrat /lapsi])</f>
        <v>0</v>
      </c>
      <c r="G48" s="84">
        <f>SUMIF(Taulukko1[ERITYISRYHMÄT],"b)*",Taulukko1[Kävijämäärä a) lapset])</f>
        <v>0</v>
      </c>
      <c r="H48" s="84">
        <f>SUMIF(Taulukko1[ERITYISRYHMÄT],"b)*",Taulukko1[Kävijämäärä b) aikuiset])</f>
        <v>0</v>
      </c>
      <c r="I48" s="84">
        <f>SUMIF(Taulukko1[ERITYISRYHMÄT],"b)*",Taulukko1[Kokonais-kävijämäärä])</f>
        <v>0</v>
      </c>
      <c r="J48" s="85" t="e">
        <f>AVERAGEIF(Taulukko1[ERITYISRYHMÄT],"b)*",Taulukko1[Kokonais-kävijämäärä])</f>
        <v>#DIV/0!</v>
      </c>
      <c r="K48" s="84">
        <f>SUMIF(Taulukko1[ERITYISRYHMÄT],"c)*",Taulukko1[Asiakaskontakti (lkm)])</f>
        <v>0</v>
      </c>
      <c r="L48" s="58" t="e">
        <f>SUMIF(Taulukko1[ERITYISRYHMÄT],"b)*",Taulukko1[Asiakaskontakti (lkm)])/SUM(Taulukko1[Asiakaskontakti (lkm)])</f>
        <v>#DIV/0!</v>
      </c>
      <c r="M48" s="93" t="s">
        <v>105</v>
      </c>
    </row>
    <row r="49" spans="1:13" ht="15.75" x14ac:dyDescent="0.25">
      <c r="A49" s="69" t="s">
        <v>106</v>
      </c>
      <c r="B49" s="85">
        <f>SUMIF(Taulukko1[ERITYISRYHMÄT],"c)*",Taulukko1[Tapahtumien määrä])</f>
        <v>0</v>
      </c>
      <c r="C49" s="58" t="e">
        <f>(SUMIF(Taulukko1[ERITYISRYHMÄT],"c)*",Taulukko1[Tapahtumien määrä]))/SUM(Taulukko1[Tapahtumien määrä])</f>
        <v>#DIV/0!</v>
      </c>
      <c r="D49" s="85" t="e">
        <f>AVERAGEIF(Taulukko1[ERITYISRYHMÄT],"c)*",Taulukko1[Kesto (min) / tapaaminen])</f>
        <v>#DIV/0!</v>
      </c>
      <c r="E49" s="86">
        <f>SUMIF(Taulukko1[ERITYISRYHMÄT],"c)*",Taulukko1[Kokonais-kesto (min)])/60</f>
        <v>0</v>
      </c>
      <c r="F49" s="84">
        <f>SUMIF(Taulukko1[ERITYISRYHMÄT],"c)*",Taulukko1[Tapaamis-kerrat /lapsi])</f>
        <v>0</v>
      </c>
      <c r="G49" s="84">
        <f>SUMIF(Taulukko1[ERITYISRYHMÄT],"c)*",Taulukko1[Kävijämäärä a) lapset])</f>
        <v>0</v>
      </c>
      <c r="H49" s="84">
        <f>SUMIF(Taulukko1[ERITYISRYHMÄT],"c)*",Taulukko1[Kävijämäärä b) aikuiset])</f>
        <v>0</v>
      </c>
      <c r="I49" s="84">
        <f>SUMIF(Taulukko1[ERITYISRYHMÄT],"c)*",Taulukko1[Kokonais-kävijämäärä])</f>
        <v>0</v>
      </c>
      <c r="J49" s="85" t="e">
        <f>AVERAGEIF(Taulukko1[ERITYISRYHMÄT],"c)*",Taulukko1[Kokonais-kävijämäärä])</f>
        <v>#DIV/0!</v>
      </c>
      <c r="K49" s="84">
        <f>SUMIF(Taulukko1[ERITYISRYHMÄT],"c)*",Taulukko1[Asiakaskontakti (lkm)])</f>
        <v>0</v>
      </c>
      <c r="L49" s="58" t="e">
        <f>SUMIF(Taulukko1[ERITYISRYHMÄT],"c)*",Taulukko1[Asiakaskontakti (lkm)])/SUM(Taulukko1[Asiakaskontakti (lkm)])</f>
        <v>#DIV/0!</v>
      </c>
      <c r="M49" s="93" t="s">
        <v>106</v>
      </c>
    </row>
    <row r="50" spans="1:13" x14ac:dyDescent="0.25">
      <c r="A50" s="63" t="s">
        <v>54</v>
      </c>
      <c r="B50" s="91" t="s">
        <v>159</v>
      </c>
    </row>
    <row r="51" spans="1:13" x14ac:dyDescent="0.25">
      <c r="A51" s="61" t="s">
        <v>146</v>
      </c>
      <c r="B51" s="85">
        <f>SUMIF(Taulukko1[KIELI],"a)*",Taulukko1[Tapahtumien määrä])</f>
        <v>0</v>
      </c>
      <c r="C51" s="58" t="e">
        <f>(SUMIF(Taulukko1[KIELI],"a)*",Taulukko1[Tapahtumien määrä]))/SUM(Taulukko1[Tapahtumien määrä])</f>
        <v>#DIV/0!</v>
      </c>
      <c r="D51" s="85" t="e">
        <f>AVERAGEIF(Taulukko1[KIELI],"a)*",Taulukko1[Kesto (min) / tapaaminen])</f>
        <v>#DIV/0!</v>
      </c>
      <c r="E51" s="86">
        <f>SUMIF(Taulukko1[KIELI],"a)*",Taulukko1[Kokonais-kesto (min)])/60</f>
        <v>0</v>
      </c>
      <c r="F51" s="84">
        <f>SUMIF(Taulukko1[KIELI],"a)*",Taulukko1[Tapaamis-kerrat /lapsi])</f>
        <v>0</v>
      </c>
      <c r="G51" s="84">
        <f>SUMIF(Taulukko1[KIELI],"a)*",Taulukko1[Kävijämäärä a) lapset])</f>
        <v>0</v>
      </c>
      <c r="H51" s="84">
        <f>SUMIF(Taulukko1[KIELI],"a)*",Taulukko1[Kävijämäärä b) aikuiset])</f>
        <v>0</v>
      </c>
      <c r="I51" s="84">
        <f>SUMIF(Taulukko1[KIELI],"a)*",Taulukko1[Kokonais-kävijämäärä])</f>
        <v>0</v>
      </c>
      <c r="J51" s="85" t="e">
        <f>AVERAGEIF(Taulukko1[KIELI],"a)*",Taulukko1[Kokonais-kävijämäärä])</f>
        <v>#DIV/0!</v>
      </c>
      <c r="K51" s="84">
        <f>SUMIF(Taulukko1[KIELI],"a)*",Taulukko1[Asiakaskontakti (lkm)])</f>
        <v>0</v>
      </c>
      <c r="L51" s="58" t="e">
        <f>SUMIF(Taulukko1[KIELI],"a)*",Taulukko1[Asiakaskontakti (lkm)])/SUM(Taulukko1[Asiakaskontakti (lkm)])</f>
        <v>#DIV/0!</v>
      </c>
      <c r="M51" s="83" t="s">
        <v>146</v>
      </c>
    </row>
    <row r="52" spans="1:13" x14ac:dyDescent="0.25">
      <c r="A52" s="61" t="s">
        <v>147</v>
      </c>
      <c r="B52" s="85">
        <f>SUMIF(Taulukko1[KIELI],"b)*",Taulukko1[Tapahtumien määrä])</f>
        <v>0</v>
      </c>
      <c r="C52" s="58" t="e">
        <f>(SUMIF(Taulukko1[KIELI],"b)*",Taulukko1[Tapahtumien määrä]))/SUM(Taulukko1[Tapahtumien määrä])</f>
        <v>#DIV/0!</v>
      </c>
      <c r="D52" s="85" t="e">
        <f>AVERAGEIF(Taulukko1[KIELI],"b)*",Taulukko1[Kesto (min) / tapaaminen])</f>
        <v>#DIV/0!</v>
      </c>
      <c r="E52" s="86">
        <f>SUMIF(Taulukko1[KIELI],"b)*",Taulukko1[Kokonais-kesto (min)])/60</f>
        <v>0</v>
      </c>
      <c r="F52" s="84">
        <f>SUMIF(Taulukko1[KIELI],"b)*",Taulukko1[Tapaamis-kerrat /lapsi])</f>
        <v>0</v>
      </c>
      <c r="G52" s="84">
        <f>SUMIF(Taulukko1[KIELI],"b)*",Taulukko1[Kävijämäärä a) lapset])</f>
        <v>0</v>
      </c>
      <c r="H52" s="84">
        <f>SUMIF(Taulukko1[KIELI],"b)*",Taulukko1[Kävijämäärä b) aikuiset])</f>
        <v>0</v>
      </c>
      <c r="I52" s="84">
        <f>SUMIF(Taulukko1[KIELI],"b)*",Taulukko1[Kokonais-kävijämäärä])</f>
        <v>0</v>
      </c>
      <c r="J52" s="85" t="e">
        <f>AVERAGEIF(Taulukko1[KIELI],"b)*",Taulukko1[Kokonais-kävijämäärä])</f>
        <v>#DIV/0!</v>
      </c>
      <c r="K52" s="84">
        <f>SUMIF(Taulukko1[KIELI],"b)*",Taulukko1[Asiakaskontakti (lkm)])</f>
        <v>0</v>
      </c>
      <c r="L52" s="58" t="e">
        <f>SUMIF(Taulukko1[KIELI],"b)*",Taulukko1[Asiakaskontakti (lkm)])/SUM(Taulukko1[Asiakaskontakti (lkm)])</f>
        <v>#DIV/0!</v>
      </c>
      <c r="M52" s="83" t="s">
        <v>147</v>
      </c>
    </row>
    <row r="53" spans="1:13" x14ac:dyDescent="0.25">
      <c r="A53" s="61" t="s">
        <v>148</v>
      </c>
      <c r="B53" s="85">
        <f>SUMIF(Taulukko1[KIELI],"c)*",Taulukko1[Tapahtumien määrä])</f>
        <v>0</v>
      </c>
      <c r="C53" s="58" t="e">
        <f>(SUMIF(Taulukko1[KIELI],"c)*",Taulukko1[Tapahtumien määrä]))/SUM(Taulukko1[Tapahtumien määrä])</f>
        <v>#DIV/0!</v>
      </c>
      <c r="D53" s="85" t="e">
        <f>AVERAGEIF(Taulukko1[KIELI],"c)*",Taulukko1[Kesto (min) / tapaaminen])</f>
        <v>#DIV/0!</v>
      </c>
      <c r="E53" s="86">
        <f>SUMIF(Taulukko1[KIELI],"c)*",Taulukko1[Kokonais-kesto (min)])/60</f>
        <v>0</v>
      </c>
      <c r="F53" s="84">
        <f>SUMIF(Taulukko1[KIELI],"c)*",Taulukko1[Tapaamis-kerrat /lapsi])</f>
        <v>0</v>
      </c>
      <c r="G53" s="84">
        <f>SUMIF(Taulukko1[KIELI],"c)*",Taulukko1[Kävijämäärä a) lapset])</f>
        <v>0</v>
      </c>
      <c r="H53" s="84">
        <f>SUMIF(Taulukko1[KIELI],"c)*",Taulukko1[Kävijämäärä b) aikuiset])</f>
        <v>0</v>
      </c>
      <c r="I53" s="84">
        <f>SUMIF(Taulukko1[KIELI],"c)*",Taulukko1[Kokonais-kävijämäärä])</f>
        <v>0</v>
      </c>
      <c r="J53" s="85" t="e">
        <f>AVERAGEIF(Taulukko1[KIELI],"c)*",Taulukko1[Kokonais-kävijämäärä])</f>
        <v>#DIV/0!</v>
      </c>
      <c r="K53" s="84">
        <f>SUMIF(Taulukko1[KIELI],"c)*",Taulukko1[Asiakaskontakti (lkm)])</f>
        <v>0</v>
      </c>
      <c r="L53" s="58" t="e">
        <f>SUMIF(Taulukko1[KIELI],"c)*",Taulukko1[Asiakaskontakti (lkm)])/SUM(Taulukko1[Asiakaskontakti (lkm)])</f>
        <v>#DIV/0!</v>
      </c>
      <c r="M53" s="83" t="s">
        <v>148</v>
      </c>
    </row>
    <row r="54" spans="1:13" x14ac:dyDescent="0.25">
      <c r="A54" s="61" t="s">
        <v>149</v>
      </c>
      <c r="B54" s="85">
        <f>SUMIF(Taulukko1[KIELI],"d)*",Taulukko1[Tapahtumien määrä])</f>
        <v>0</v>
      </c>
      <c r="C54" s="58" t="e">
        <f>(SUMIF(Taulukko1[KIELI],"d)*",Taulukko1[Tapahtumien määrä]))/SUM(Taulukko1[Tapahtumien määrä])</f>
        <v>#DIV/0!</v>
      </c>
      <c r="D54" s="85" t="e">
        <f>AVERAGEIF(Taulukko1[KIELI],"d)*",Taulukko1[Kesto (min) / tapaaminen])</f>
        <v>#DIV/0!</v>
      </c>
      <c r="E54" s="86">
        <f>SUMIF(Taulukko1[KIELI],"d)*",Taulukko1[Kokonais-kesto (min)])/60</f>
        <v>0</v>
      </c>
      <c r="F54" s="84">
        <f>SUMIF(Taulukko1[KIELI],"d)*",Taulukko1[Tapaamis-kerrat /lapsi])</f>
        <v>0</v>
      </c>
      <c r="G54" s="84">
        <f>SUMIF(Taulukko1[KIELI],"d)*",Taulukko1[Kävijämäärä a) lapset])</f>
        <v>0</v>
      </c>
      <c r="H54" s="84">
        <f>SUMIF(Taulukko1[KIELI],"d)*",Taulukko1[Kävijämäärä b) aikuiset])</f>
        <v>0</v>
      </c>
      <c r="I54" s="84">
        <f>SUMIF(Taulukko1[KIELI],"d)*",Taulukko1[Kokonais-kävijämäärä])</f>
        <v>0</v>
      </c>
      <c r="J54" s="85" t="e">
        <f>AVERAGEIF(Taulukko1[KIELI],"d)*",Taulukko1[Kokonais-kävijämäärä])</f>
        <v>#DIV/0!</v>
      </c>
      <c r="K54" s="84">
        <f>SUMIF(Taulukko1[KIELI],"d)*",Taulukko1[Asiakaskontakti (lkm)])</f>
        <v>0</v>
      </c>
      <c r="L54" s="58" t="e">
        <f>SUMIF(Taulukko1[KIELI],"d)*",Taulukko1[Asiakaskontakti (lkm)])/SUM(Taulukko1[Asiakaskontakti (lkm)])</f>
        <v>#DIV/0!</v>
      </c>
      <c r="M54" s="83" t="s">
        <v>149</v>
      </c>
    </row>
    <row r="55" spans="1:13" x14ac:dyDescent="0.25">
      <c r="A55" s="61" t="s">
        <v>150</v>
      </c>
      <c r="B55" s="85">
        <f>SUMIF(Taulukko1[KIELI],"e)*",Taulukko1[Tapahtumien määrä])</f>
        <v>0</v>
      </c>
      <c r="C55" s="58" t="e">
        <f>(SUMIF(Taulukko1[KIELI],"e)*",Taulukko1[Tapahtumien määrä]))/SUM(Taulukko1[Tapahtumien määrä])</f>
        <v>#DIV/0!</v>
      </c>
      <c r="D55" s="85" t="e">
        <f>AVERAGEIF(Taulukko1[KIELI],"e)*",Taulukko1[Kesto (min) / tapaaminen])</f>
        <v>#DIV/0!</v>
      </c>
      <c r="E55" s="86">
        <f>SUMIF(Taulukko1[KIELI],"e)*",Taulukko1[Kokonais-kesto (min)])/60</f>
        <v>0</v>
      </c>
      <c r="F55" s="84">
        <f>SUMIF(Taulukko1[KIELI],"e)*",Taulukko1[Tapaamis-kerrat /lapsi])</f>
        <v>0</v>
      </c>
      <c r="G55" s="84">
        <f>SUMIF(Taulukko1[KIELI],"e)*",Taulukko1[Kävijämäärä a) lapset])</f>
        <v>0</v>
      </c>
      <c r="H55" s="84">
        <f>SUMIF(Taulukko1[KIELI],"e)*",Taulukko1[Kävijämäärä b) aikuiset])</f>
        <v>0</v>
      </c>
      <c r="I55" s="84">
        <f>SUMIF(Taulukko1[KIELI],"e)*",Taulukko1[Kokonais-kävijämäärä])</f>
        <v>0</v>
      </c>
      <c r="J55" s="85" t="e">
        <f>AVERAGEIF(Taulukko1[KIELI],"e)*",Taulukko1[Kokonais-kävijämäärä])</f>
        <v>#DIV/0!</v>
      </c>
      <c r="K55" s="84">
        <f>SUMIF(Taulukko1[KIELI],"e)*",Taulukko1[Asiakaskontakti (lkm)])</f>
        <v>0</v>
      </c>
      <c r="L55" s="58" t="e">
        <f>SUMIF(Taulukko1[KIELI],"e)*",Taulukko1[Asiakaskontakti (lkm)])/SUM(Taulukko1[Asiakaskontakti (lkm)])</f>
        <v>#DIV/0!</v>
      </c>
      <c r="M55" s="83" t="s">
        <v>150</v>
      </c>
    </row>
    <row r="56" spans="1:13" x14ac:dyDescent="0.25">
      <c r="A56" s="61" t="s">
        <v>151</v>
      </c>
      <c r="B56" s="85">
        <f>SUMIF(Taulukko1[KIELI],"f)*",Taulukko1[Tapahtumien määrä])</f>
        <v>0</v>
      </c>
      <c r="C56" s="58" t="e">
        <f>(SUMIF(Taulukko1[KIELI],"f)*",Taulukko1[Tapahtumien määrä]))/SUM(Taulukko1[Tapahtumien määrä])</f>
        <v>#DIV/0!</v>
      </c>
      <c r="D56" s="85" t="e">
        <f>AVERAGEIF(Taulukko1[KIELI],"f)*",Taulukko1[Kesto (min) / tapaaminen])</f>
        <v>#DIV/0!</v>
      </c>
      <c r="E56" s="86">
        <f>SUMIF(Taulukko1[KIELI],"f)*",Taulukko1[Kokonais-kesto (min)])/60</f>
        <v>0</v>
      </c>
      <c r="F56" s="84">
        <f>SUMIF(Taulukko1[KIELI],"f)*",Taulukko1[Tapaamis-kerrat /lapsi])</f>
        <v>0</v>
      </c>
      <c r="G56" s="84">
        <f>SUMIF(Taulukko1[KIELI],"f)*",Taulukko1[Kävijämäärä a) lapset])</f>
        <v>0</v>
      </c>
      <c r="H56" s="84">
        <f>SUMIF(Taulukko1[KIELI],"f)*",Taulukko1[Kävijämäärä b) aikuiset])</f>
        <v>0</v>
      </c>
      <c r="I56" s="84">
        <f>SUMIF(Taulukko1[KIELI],"f)*",Taulukko1[Kokonais-kävijämäärä])</f>
        <v>0</v>
      </c>
      <c r="J56" s="85" t="e">
        <f>AVERAGEIF(Taulukko1[KIELI],"f)*",Taulukko1[Kokonais-kävijämäärä])</f>
        <v>#DIV/0!</v>
      </c>
      <c r="K56" s="84">
        <f>SUMIF(Taulukko1[KIELI],"f)*",Taulukko1[Asiakaskontakti (lkm)])</f>
        <v>0</v>
      </c>
      <c r="L56" s="58" t="e">
        <f>SUMIF(Taulukko1[KIELI],"f)*",Taulukko1[Asiakaskontakti (lkm)])/SUM(Taulukko1[Asiakaskontakti (lkm)])</f>
        <v>#DIV/0!</v>
      </c>
      <c r="M56" s="83" t="s">
        <v>151</v>
      </c>
    </row>
    <row r="57" spans="1:13" x14ac:dyDescent="0.25">
      <c r="A57" s="61" t="s">
        <v>152</v>
      </c>
      <c r="B57" s="85">
        <f>SUMIF(Taulukko1[KIELI],"g)*",Taulukko1[Tapahtumien määrä])</f>
        <v>0</v>
      </c>
      <c r="C57" s="58" t="e">
        <f>(SUMIF(Taulukko1[KIELI],"g)*",Taulukko1[Tapahtumien määrä]))/SUM(Taulukko1[Tapahtumien määrä])</f>
        <v>#DIV/0!</v>
      </c>
      <c r="D57" s="85" t="e">
        <f>AVERAGEIF(Taulukko1[KIELI],"g)*",Taulukko1[Kesto (min) / tapaaminen])</f>
        <v>#DIV/0!</v>
      </c>
      <c r="E57" s="86">
        <f>SUMIF(Taulukko1[KIELI],"g)*",Taulukko1[Kokonais-kesto (min)])/60</f>
        <v>0</v>
      </c>
      <c r="F57" s="84">
        <f>SUMIF(Taulukko1[KIELI],"g)*",Taulukko1[Tapaamis-kerrat /lapsi])</f>
        <v>0</v>
      </c>
      <c r="G57" s="84">
        <f>SUMIF(Taulukko1[KIELI],"g)*",Taulukko1[Kävijämäärä a) lapset])</f>
        <v>0</v>
      </c>
      <c r="H57" s="84">
        <f>SUMIF(Taulukko1[KIELI],"g)*",Taulukko1[Kävijämäärä b) aikuiset])</f>
        <v>0</v>
      </c>
      <c r="I57" s="84">
        <f>SUMIF(Taulukko1[KIELI],"g)*",Taulukko1[Kokonais-kävijämäärä])</f>
        <v>0</v>
      </c>
      <c r="J57" s="85" t="e">
        <f>AVERAGEIF(Taulukko1[KIELI],"g)*",Taulukko1[Kokonais-kävijämäärä])</f>
        <v>#DIV/0!</v>
      </c>
      <c r="K57" s="84">
        <f>SUMIF(Taulukko1[KIELI],"g)*",Taulukko1[Asiakaskontakti (lkm)])</f>
        <v>0</v>
      </c>
      <c r="L57" s="58" t="e">
        <f>SUMIF(Taulukko1[KIELI],"g)*",Taulukko1[Asiakaskontakti (lkm)])/SUM(Taulukko1[Asiakaskontakti (lkm)])</f>
        <v>#DIV/0!</v>
      </c>
      <c r="M57" s="83" t="s">
        <v>152</v>
      </c>
    </row>
    <row r="58" spans="1:13" x14ac:dyDescent="0.25">
      <c r="A58" s="61" t="s">
        <v>153</v>
      </c>
      <c r="B58" s="85">
        <f>SUMIF(Taulukko1[KIELI],"h)*",Taulukko1[Tapahtumien määrä])</f>
        <v>0</v>
      </c>
      <c r="C58" s="58" t="e">
        <f>(SUMIF(Taulukko1[KIELI],"h)*",Taulukko1[Tapahtumien määrä]))/SUM(Taulukko1[Tapahtumien määrä])</f>
        <v>#DIV/0!</v>
      </c>
      <c r="D58" s="85" t="e">
        <f>AVERAGEIF(Taulukko1[KIELI],"h)*",Taulukko1[Kesto (min) / tapaaminen])</f>
        <v>#DIV/0!</v>
      </c>
      <c r="E58" s="86">
        <f>SUMIF(Taulukko1[KIELI],"h)*",Taulukko1[Kokonais-kesto (min)])/60</f>
        <v>0</v>
      </c>
      <c r="F58" s="84">
        <f>SUMIF(Taulukko1[KIELI],"h)*",Taulukko1[Tapaamis-kerrat /lapsi])</f>
        <v>0</v>
      </c>
      <c r="G58" s="84">
        <f>SUMIF(Taulukko1[KIELI],"h)*",Taulukko1[Kävijämäärä a) lapset])</f>
        <v>0</v>
      </c>
      <c r="H58" s="84">
        <f>SUMIF(Taulukko1[KIELI],"h)*",Taulukko1[Kävijämäärä b) aikuiset])</f>
        <v>0</v>
      </c>
      <c r="I58" s="84">
        <f>SUMIF(Taulukko1[KIELI],"h)*",Taulukko1[Kokonais-kävijämäärä])</f>
        <v>0</v>
      </c>
      <c r="J58" s="85" t="e">
        <f>AVERAGEIF(Taulukko1[KIELI],"h)*",Taulukko1[Kokonais-kävijämäärä])</f>
        <v>#DIV/0!</v>
      </c>
      <c r="K58" s="84">
        <f>SUMIF(Taulukko1[KIELI],"h)*",Taulukko1[Asiakaskontakti (lkm)])</f>
        <v>0</v>
      </c>
      <c r="L58" s="58" t="e">
        <f>SUMIF(Taulukko1[KIELI],"h)*",Taulukko1[Asiakaskontakti (lkm)])/SUM(Taulukko1[Asiakaskontakti (lkm)])</f>
        <v>#DIV/0!</v>
      </c>
      <c r="M58" s="83" t="s">
        <v>153</v>
      </c>
    </row>
    <row r="59" spans="1:13" x14ac:dyDescent="0.25">
      <c r="A59" s="63" t="s">
        <v>54</v>
      </c>
      <c r="B59" s="91" t="s">
        <v>176</v>
      </c>
      <c r="M59" s="83"/>
    </row>
    <row r="60" spans="1:13" x14ac:dyDescent="0.25">
      <c r="A60" s="61" t="s">
        <v>154</v>
      </c>
      <c r="B60" s="85">
        <f>SUMIF(Taulukko1[RAHOITUS],"a)*",Taulukko1[Tapahtumien määrä])</f>
        <v>0</v>
      </c>
      <c r="C60" s="58" t="e">
        <f>(SUMIF(Taulukko1[RAHOITUS],"a)*",Taulukko1[Tapahtumien määrä]))/SUM(Taulukko1[Tapahtumien määrä])</f>
        <v>#DIV/0!</v>
      </c>
      <c r="D60" s="85" t="e">
        <f>AVERAGEIF(Taulukko1[RAHOITUS],"a)*",Taulukko1[Kesto (min) / tapaaminen])</f>
        <v>#DIV/0!</v>
      </c>
      <c r="E60" s="86">
        <f>SUMIF(Taulukko1[RAHOITUS],"a)*",Taulukko1[Kokonais-kesto (min)])/60</f>
        <v>0</v>
      </c>
      <c r="F60" s="84">
        <f>SUMIF(Taulukko1[RAHOITUS],"a)*",Taulukko1[Tapaamis-kerrat /lapsi])</f>
        <v>0</v>
      </c>
      <c r="G60" s="84">
        <f>SUMIF(Taulukko1[RAHOITUS],"a)*",Taulukko1[Kävijämäärä a) lapset])</f>
        <v>0</v>
      </c>
      <c r="H60" s="84">
        <f>SUMIF(Taulukko1[RAHOITUS],"a)*",Taulukko1[Kävijämäärä b) aikuiset])</f>
        <v>0</v>
      </c>
      <c r="I60" s="84">
        <f>SUMIF(Taulukko1[RAHOITUS],"a)*",Taulukko1[Kokonais-kävijämäärä])</f>
        <v>0</v>
      </c>
      <c r="J60" s="85" t="e">
        <f>AVERAGEIF(Taulukko1[RAHOITUS],"a)*",Taulukko1[Kokonais-kävijämäärä])</f>
        <v>#DIV/0!</v>
      </c>
      <c r="K60" s="84">
        <f>SUMIF(Taulukko1[RAHOITUS],"a)*",Taulukko1[Asiakaskontakti (lkm)])</f>
        <v>0</v>
      </c>
      <c r="L60" s="58" t="e">
        <f>SUMIF(Taulukko1[RAHOITUS],"a)*",Taulukko1[Asiakaskontakti (lkm)])/SUM(Taulukko1[Asiakaskontakti (lkm)])</f>
        <v>#DIV/0!</v>
      </c>
      <c r="M60" s="83" t="s">
        <v>154</v>
      </c>
    </row>
    <row r="61" spans="1:13" x14ac:dyDescent="0.25">
      <c r="A61" s="61" t="s">
        <v>155</v>
      </c>
      <c r="B61" s="85">
        <f>SUMIF(Taulukko1[RAHOITUS],"B)*",Taulukko1[Tapahtumien määrä])</f>
        <v>0</v>
      </c>
      <c r="C61" s="58" t="e">
        <f>(SUMIF(Taulukko1[RAHOITUS],"b)*",Taulukko1[Tapahtumien määrä]))/SUM(Taulukko1[Tapahtumien määrä])</f>
        <v>#DIV/0!</v>
      </c>
      <c r="D61" s="85" t="e">
        <f>AVERAGEIF(Taulukko1[RAHOITUS],"b)*",Taulukko1[Kesto (min) / tapaaminen])</f>
        <v>#DIV/0!</v>
      </c>
      <c r="E61" s="86">
        <f>SUMIF(Taulukko1[RAHOITUS],"b)*",Taulukko1[Kokonais-kesto (min)])/60</f>
        <v>0</v>
      </c>
      <c r="F61" s="84">
        <f>SUMIF(Taulukko1[RAHOITUS],"b)*",Taulukko1[Tapaamis-kerrat /lapsi])</f>
        <v>0</v>
      </c>
      <c r="G61" s="84">
        <f>SUMIF(Taulukko1[RAHOITUS],"b)*",Taulukko1[Kävijämäärä a) lapset])</f>
        <v>0</v>
      </c>
      <c r="H61" s="84">
        <f>SUMIF(Taulukko1[RAHOITUS],"b)*",Taulukko1[Kävijämäärä b) aikuiset])</f>
        <v>0</v>
      </c>
      <c r="I61" s="84">
        <f>SUMIF(Taulukko1[RAHOITUS],"b)*",Taulukko1[Kokonais-kävijämäärä])</f>
        <v>0</v>
      </c>
      <c r="J61" s="85" t="e">
        <f>AVERAGEIF(Taulukko1[RAHOITUS],"b)*",Taulukko1[Kokonais-kävijämäärä])</f>
        <v>#DIV/0!</v>
      </c>
      <c r="K61" s="84">
        <f>SUMIF(Taulukko1[RAHOITUS],"b)*",Taulukko1[Asiakaskontakti (lkm)])</f>
        <v>0</v>
      </c>
      <c r="L61" s="58" t="e">
        <f>SUMIF(Taulukko1[RAHOITUS],"b)*",Taulukko1[Asiakaskontakti (lkm)])/SUM(Taulukko1[Asiakaskontakti (lkm)])</f>
        <v>#DIV/0!</v>
      </c>
      <c r="M61" s="83" t="s">
        <v>155</v>
      </c>
    </row>
    <row r="62" spans="1:13" x14ac:dyDescent="0.25">
      <c r="A62" s="61" t="s">
        <v>162</v>
      </c>
      <c r="B62" s="85">
        <f>SUMIF(Taulukko1[RAHOITUS],"c)*",Taulukko1[Tapahtumien määrä])</f>
        <v>0</v>
      </c>
      <c r="C62" s="58" t="e">
        <f>(SUMIF(Taulukko1[RAHOITUS],"c)*",Taulukko1[Tapahtumien määrä]))/SUM(Taulukko1[Tapahtumien määrä])</f>
        <v>#DIV/0!</v>
      </c>
      <c r="D62" s="85" t="e">
        <f>AVERAGEIF(Taulukko1[RAHOITUS],"c)*",Taulukko1[Kesto (min) / tapaaminen])</f>
        <v>#DIV/0!</v>
      </c>
      <c r="E62" s="86">
        <f>SUMIF(Taulukko1[RAHOITUS],"c)*",Taulukko1[Kokonais-kesto (min)])/60</f>
        <v>0</v>
      </c>
      <c r="F62" s="84">
        <f>SUMIF(Taulukko1[RAHOITUS],"c)*",Taulukko1[Tapaamis-kerrat /lapsi])</f>
        <v>0</v>
      </c>
      <c r="G62" s="84">
        <f>SUMIF(Taulukko1[RAHOITUS],"c)*",Taulukko1[Kävijämäärä a) lapset])</f>
        <v>0</v>
      </c>
      <c r="H62" s="84">
        <f>SUMIF(Taulukko1[RAHOITUS],"c)*",Taulukko1[Kävijämäärä b) aikuiset])</f>
        <v>0</v>
      </c>
      <c r="I62" s="84">
        <f>SUMIF(Taulukko1[RAHOITUS],"c)*",Taulukko1[Kokonais-kävijämäärä])</f>
        <v>0</v>
      </c>
      <c r="J62" s="85" t="e">
        <f>AVERAGEIF(Taulukko1[RAHOITUS],"c)*",Taulukko1[Kokonais-kävijämäärä])</f>
        <v>#DIV/0!</v>
      </c>
      <c r="K62" s="84">
        <f>SUMIF(Taulukko1[RAHOITUS],"c)*",Taulukko1[Asiakaskontakti (lkm)])</f>
        <v>0</v>
      </c>
      <c r="L62" s="58" t="e">
        <f>SUMIF(Taulukko1[RAHOITUS],"c)*",Taulukko1[Asiakaskontakti (lkm)])/SUM(Taulukko1[Asiakaskontakti (lkm)])</f>
        <v>#DIV/0!</v>
      </c>
      <c r="M62" s="83" t="s">
        <v>162</v>
      </c>
    </row>
    <row r="63" spans="1:13" x14ac:dyDescent="0.25">
      <c r="A63" s="61" t="s">
        <v>163</v>
      </c>
      <c r="B63" s="85">
        <f>SUMIF(Taulukko1[RAHOITUS],"d)*",Taulukko1[Tapahtumien määrä])</f>
        <v>0</v>
      </c>
      <c r="C63" s="58" t="e">
        <f>(SUMIF(Taulukko1[RAHOITUS],"d)*",Taulukko1[Tapahtumien määrä]))/SUM(Taulukko1[Tapahtumien määrä])</f>
        <v>#DIV/0!</v>
      </c>
      <c r="D63" s="85" t="e">
        <f>AVERAGEIF(Taulukko1[RAHOITUS],"d)*",Taulukko1[Kesto (min) / tapaaminen])</f>
        <v>#DIV/0!</v>
      </c>
      <c r="E63" s="86">
        <f>SUMIF(Taulukko1[RAHOITUS],"d)*",Taulukko1[Kokonais-kesto (min)])/60</f>
        <v>0</v>
      </c>
      <c r="F63" s="84">
        <f>SUMIF(Taulukko1[RAHOITUS],"d)*",Taulukko1[Tapaamis-kerrat /lapsi])</f>
        <v>0</v>
      </c>
      <c r="G63" s="84">
        <f>SUMIF(Taulukko1[RAHOITUS],"d)*",Taulukko1[Kävijämäärä a) lapset])</f>
        <v>0</v>
      </c>
      <c r="H63" s="84">
        <f>SUMIF(Taulukko1[RAHOITUS],"d)*",Taulukko1[Kävijämäärä b) aikuiset])</f>
        <v>0</v>
      </c>
      <c r="I63" s="84">
        <f>SUMIF(Taulukko1[RAHOITUS],"d)*",Taulukko1[Kokonais-kävijämäärä])</f>
        <v>0</v>
      </c>
      <c r="J63" s="85" t="e">
        <f>AVERAGEIF(Taulukko1[RAHOITUS],"d)*",Taulukko1[Kokonais-kävijämäärä])</f>
        <v>#DIV/0!</v>
      </c>
      <c r="K63" s="84">
        <f>SUMIF(Taulukko1[RAHOITUS],"d)*",Taulukko1[Asiakaskontakti (lkm)])</f>
        <v>0</v>
      </c>
      <c r="L63" s="58" t="e">
        <f>SUMIF(Taulukko1[RAHOITUS],"d)*",Taulukko1[Asiakaskontakti (lkm)])/SUM(Taulukko1[Asiakaskontakti (lkm)])</f>
        <v>#DIV/0!</v>
      </c>
      <c r="M63" s="83" t="s">
        <v>163</v>
      </c>
    </row>
    <row r="64" spans="1:13" x14ac:dyDescent="0.25">
      <c r="A64" s="61" t="s">
        <v>164</v>
      </c>
      <c r="B64" s="85">
        <f>SUMIF(Taulukko1[RAHOITUS],"e)*",Taulukko1[Tapahtumien määrä])</f>
        <v>0</v>
      </c>
      <c r="C64" s="58" t="e">
        <f>(SUMIF(Taulukko1[RAHOITUS],"e)*",Taulukko1[Tapahtumien määrä]))/SUM(Taulukko1[Tapahtumien määrä])</f>
        <v>#DIV/0!</v>
      </c>
      <c r="D64" s="85" t="e">
        <f>AVERAGEIF(Taulukko1[RAHOITUS],"e)*",Taulukko1[Kesto (min) / tapaaminen])</f>
        <v>#DIV/0!</v>
      </c>
      <c r="E64" s="86">
        <f>SUMIF(Taulukko1[RAHOITUS],"e)*",Taulukko1[Kokonais-kesto (min)])/60</f>
        <v>0</v>
      </c>
      <c r="F64" s="84">
        <f>SUMIF(Taulukko1[RAHOITUS],"e)*",Taulukko1[Tapaamis-kerrat /lapsi])</f>
        <v>0</v>
      </c>
      <c r="G64" s="84">
        <f>SUMIF(Taulukko1[RAHOITUS],"e)*",Taulukko1[Kävijämäärä a) lapset])</f>
        <v>0</v>
      </c>
      <c r="H64" s="84">
        <f>SUMIF(Taulukko1[RAHOITUS],"e)*",Taulukko1[Kävijämäärä b) aikuiset])</f>
        <v>0</v>
      </c>
      <c r="I64" s="84">
        <f>SUMIF(Taulukko1[RAHOITUS],"e)*",Taulukko1[Kokonais-kävijämäärä])</f>
        <v>0</v>
      </c>
      <c r="J64" s="85" t="e">
        <f>AVERAGEIF(Taulukko1[RAHOITUS],"e)*",Taulukko1[Kokonais-kävijämäärä])</f>
        <v>#DIV/0!</v>
      </c>
      <c r="K64" s="84">
        <f>SUMIF(Taulukko1[RAHOITUS],"e)*",Taulukko1[Asiakaskontakti (lkm)])</f>
        <v>0</v>
      </c>
      <c r="L64" s="58" t="e">
        <f>SUMIF(Taulukko1[RAHOITUS],"e)*",Taulukko1[Asiakaskontakti (lkm)])/SUM(Taulukko1[Asiakaskontakti (lkm)])</f>
        <v>#DIV/0!</v>
      </c>
      <c r="M64" s="83" t="s">
        <v>164</v>
      </c>
    </row>
    <row r="65" spans="1:13" x14ac:dyDescent="0.25">
      <c r="A65" s="61" t="s">
        <v>165</v>
      </c>
      <c r="B65" s="85">
        <f>SUMIF(Taulukko1[SUOMI 100],"f)*",Taulukko1[Tapahtumien määrä])</f>
        <v>0</v>
      </c>
      <c r="C65" s="58" t="e">
        <f>(SUMIF(Taulukko1[RAHOITUS],"f)*",Taulukko1[Tapahtumien määrä]))/SUM(Taulukko1[Tapahtumien määrä])</f>
        <v>#DIV/0!</v>
      </c>
      <c r="D65" s="85" t="e">
        <f>AVERAGEIF(Taulukko1[RAHOITUS],"f)*",Taulukko1[Kesto (min) / tapaaminen])</f>
        <v>#DIV/0!</v>
      </c>
      <c r="E65" s="86">
        <f>SUMIF(Taulukko1[RAHOITUS],"f)*",Taulukko1[Kokonais-kesto (min)])/60</f>
        <v>0</v>
      </c>
      <c r="F65" s="84">
        <f>SUMIF(Taulukko1[RAHOITUS],"f)*",Taulukko1[Tapaamis-kerrat /lapsi])</f>
        <v>0</v>
      </c>
      <c r="G65" s="84">
        <f>SUMIF(Taulukko1[RAHOITUS],"f)*",Taulukko1[Kävijämäärä a) lapset])</f>
        <v>0</v>
      </c>
      <c r="H65" s="84">
        <f>SUMIF(Taulukko1[RAHOITUS],"f)*",Taulukko1[Kävijämäärä b) aikuiset])</f>
        <v>0</v>
      </c>
      <c r="I65" s="84">
        <f>SUMIF(Taulukko1[RAHOITUS],"f)*",Taulukko1[Kokonais-kävijämäärä])</f>
        <v>0</v>
      </c>
      <c r="J65" s="85" t="e">
        <f>AVERAGEIF(Taulukko1[RAHOITUS],"f)*",Taulukko1[Kokonais-kävijämäärä])</f>
        <v>#DIV/0!</v>
      </c>
      <c r="K65" s="84">
        <f>SUMIF(Taulukko1[RAHOITUS],"f)*",Taulukko1[Asiakaskontakti (lkm)])</f>
        <v>0</v>
      </c>
      <c r="L65" s="58" t="e">
        <f>SUMIF(Taulukko1[RAHOITUS],"f)*",Taulukko1[Asiakaskontakti (lkm)])/SUM(Taulukko1[Asiakaskontakti (lkm)])</f>
        <v>#DIV/0!</v>
      </c>
      <c r="M65" s="83" t="s">
        <v>165</v>
      </c>
    </row>
    <row r="66" spans="1:13" x14ac:dyDescent="0.25">
      <c r="A66" s="61" t="s">
        <v>166</v>
      </c>
      <c r="B66" s="85">
        <f>SUMIF(Taulukko1[RAHOITUS],"g)*",Taulukko1[Tapahtumien määrä])</f>
        <v>0</v>
      </c>
      <c r="C66" s="58" t="e">
        <f>(SUMIF(Taulukko1[RAHOITUS],"g)*",Taulukko1[Tapahtumien määrä]))/SUM(Taulukko1[Tapahtumien määrä])</f>
        <v>#DIV/0!</v>
      </c>
      <c r="D66" s="85" t="e">
        <f>AVERAGEIF(Taulukko1[RAHOITUS],"g)*",Taulukko1[Kesto (min) / tapaaminen])</f>
        <v>#DIV/0!</v>
      </c>
      <c r="E66" s="86">
        <f>SUMIF(Taulukko1[RAHOITUS],"g)*",Taulukko1[Kokonais-kesto (min)])/60</f>
        <v>0</v>
      </c>
      <c r="F66" s="84">
        <f>SUMIF(Taulukko1[RAHOITUS],"g)*",Taulukko1[Tapaamis-kerrat /lapsi])</f>
        <v>0</v>
      </c>
      <c r="G66" s="84">
        <f>SUMIF(Taulukko1[RAHOITUS],"g)*",Taulukko1[Kävijämäärä a) lapset])</f>
        <v>0</v>
      </c>
      <c r="H66" s="84">
        <f>SUMIF(Taulukko1[RAHOITUS],"g)*",Taulukko1[Kävijämäärä b) aikuiset])</f>
        <v>0</v>
      </c>
      <c r="I66" s="84">
        <f>SUMIF(Taulukko1[RAHOITUS],"g)*",Taulukko1[Kokonais-kävijämäärä])</f>
        <v>0</v>
      </c>
      <c r="J66" s="85" t="e">
        <f>AVERAGEIF(Taulukko1[RAHOITUS],"g)*",Taulukko1[Kokonais-kävijämäärä])</f>
        <v>#DIV/0!</v>
      </c>
      <c r="K66" s="84">
        <f>SUMIF(Taulukko1[RAHOITUS],"g)*",Taulukko1[Asiakaskontakti (lkm)])</f>
        <v>0</v>
      </c>
      <c r="L66" s="58" t="e">
        <f>SUMIF(Taulukko1[RAHOITUS],"g)*",Taulukko1[Asiakaskontakti (lkm)])/SUM(Taulukko1[Asiakaskontakti (lkm)])</f>
        <v>#DIV/0!</v>
      </c>
      <c r="M66" s="83" t="s">
        <v>166</v>
      </c>
    </row>
    <row r="67" spans="1:13" x14ac:dyDescent="0.25">
      <c r="A67" s="61" t="s">
        <v>167</v>
      </c>
      <c r="B67" s="85">
        <f>SUMIF(Taulukko1[RAHOITUS],"h)*",Taulukko1[Tapahtumien määrä])</f>
        <v>0</v>
      </c>
      <c r="C67" s="58" t="e">
        <f>(SUMIF(Taulukko1[RAHOITUS],"h)*",Taulukko1[Tapahtumien määrä]))/SUM(Taulukko1[Tapahtumien määrä])</f>
        <v>#DIV/0!</v>
      </c>
      <c r="D67" s="85" t="e">
        <f>AVERAGEIF(Taulukko1[RAHOITUS],"h)*",Taulukko1[Kesto (min) / tapaaminen])</f>
        <v>#DIV/0!</v>
      </c>
      <c r="E67" s="86">
        <f>SUMIF(Taulukko1[RAHOITUS],"h)*",Taulukko1[Kokonais-kesto (min)])/60</f>
        <v>0</v>
      </c>
      <c r="F67" s="84">
        <f>SUMIF(Taulukko1[RAHOITUS],"h)*",Taulukko1[Tapaamis-kerrat /lapsi])</f>
        <v>0</v>
      </c>
      <c r="G67" s="84">
        <f>SUMIF(Taulukko1[RAHOITUS],"h)*",Taulukko1[Kävijämäärä a) lapset])</f>
        <v>0</v>
      </c>
      <c r="H67" s="84">
        <f>SUMIF(Taulukko1[RAHOITUS],"h)*",Taulukko1[Kävijämäärä b) aikuiset])</f>
        <v>0</v>
      </c>
      <c r="I67" s="84">
        <f>SUMIF(Taulukko1[RAHOITUS],"h)*",Taulukko1[Kokonais-kävijämäärä])</f>
        <v>0</v>
      </c>
      <c r="J67" s="85" t="e">
        <f>AVERAGEIF(Taulukko1[RAHOITUS],"h)*",Taulukko1[Kokonais-kävijämäärä])</f>
        <v>#DIV/0!</v>
      </c>
      <c r="K67" s="84">
        <f>SUMIF(Taulukko1[RAHOITUS],"h)*",Taulukko1[Asiakaskontakti (lkm)])</f>
        <v>0</v>
      </c>
      <c r="L67" s="58" t="e">
        <f>SUMIF(Taulukko1[RAHOITUS],"h)*",Taulukko1[Asiakaskontakti (lkm)])/SUM(Taulukko1[Asiakaskontakti (lkm)])</f>
        <v>#DIV/0!</v>
      </c>
      <c r="M67" s="83" t="s">
        <v>167</v>
      </c>
    </row>
    <row r="68" spans="1:13" x14ac:dyDescent="0.25">
      <c r="A68" s="63" t="s">
        <v>54</v>
      </c>
      <c r="B68" s="91" t="s">
        <v>173</v>
      </c>
      <c r="C68" s="91"/>
      <c r="D68" s="91"/>
    </row>
    <row r="69" spans="1:13" x14ac:dyDescent="0.25">
      <c r="A69" s="61" t="s">
        <v>171</v>
      </c>
      <c r="B69" s="85">
        <f>SUMIF(Taulukko1[SUOMI 100],"a)*",Taulukko1[Tapahtumien määrä])</f>
        <v>0</v>
      </c>
      <c r="C69" s="58" t="e">
        <f>(SUMIF(Taulukko1[SUOMI 100],"a)*",Taulukko1[Tapahtumien määrä]))/SUM(Taulukko1[Tapahtumien määrä])</f>
        <v>#DIV/0!</v>
      </c>
      <c r="D69" s="85" t="e">
        <f>AVERAGEIF(Taulukko1[SUOMI 100],"a)*",Taulukko1[Kesto (min) / tapaaminen])</f>
        <v>#DIV/0!</v>
      </c>
      <c r="E69" s="86">
        <f>SUMIF(Taulukko1[SUOMI 100],"a)*",Taulukko1[Kokonais-kesto (min)])/60</f>
        <v>0</v>
      </c>
      <c r="F69" s="84">
        <f>SUMIF(Taulukko1[SUOMI 100],"a)*",Taulukko1[Tapaamis-kerrat /lapsi])</f>
        <v>0</v>
      </c>
      <c r="G69" s="84">
        <f>SUMIF(Taulukko1[SUOMI 100],"a)*",Taulukko1[Kävijämäärä a) lapset])</f>
        <v>0</v>
      </c>
      <c r="H69" s="84">
        <f>SUMIF(Taulukko1[SUOMI 100],"a)*",Taulukko1[Kävijämäärä b) aikuiset])</f>
        <v>0</v>
      </c>
      <c r="I69" s="84">
        <f>SUMIF(Taulukko1[SUOMI 100],"a)*",Taulukko1[Kokonais-kävijämäärä])</f>
        <v>0</v>
      </c>
      <c r="J69" s="85" t="e">
        <f>AVERAGEIF(Taulukko1[SUOMI 100],"a)*",Taulukko1[Kokonais-kävijämäärä])</f>
        <v>#DIV/0!</v>
      </c>
      <c r="K69" s="84">
        <f>SUMIF(Taulukko1[SUOMI 100],"a)*",Taulukko1[Asiakaskontakti (lkm)])</f>
        <v>0</v>
      </c>
      <c r="L69" s="58" t="e">
        <f>SUMIF(Taulukko1[SUOMI 100],"a)*",Taulukko1[Asiakaskontakti (lkm)])/SUM(Taulukko1[Asiakaskontakti (lkm)])</f>
        <v>#DIV/0!</v>
      </c>
      <c r="M69" s="83" t="s">
        <v>171</v>
      </c>
    </row>
    <row r="70" spans="1:13" x14ac:dyDescent="0.25">
      <c r="A70" s="61" t="s">
        <v>172</v>
      </c>
      <c r="B70" s="85">
        <f>SUMIF(Taulukko1[SUOMI 100],"b)*",Taulukko1[Tapahtumien määrä])</f>
        <v>0</v>
      </c>
      <c r="C70" s="58" t="e">
        <f>(SUMIF(Taulukko1[SUOMI 100],"b)*",Taulukko1[Tapahtumien määrä]))/SUM(Taulukko1[Tapahtumien määrä])</f>
        <v>#DIV/0!</v>
      </c>
      <c r="D70" s="85" t="e">
        <f>AVERAGEIF(Taulukko1[SUOMI 100],"b)*",Taulukko1[Kesto (min) / tapaaminen])</f>
        <v>#DIV/0!</v>
      </c>
      <c r="E70" s="86">
        <f>SUMIF(Taulukko1[SUOMI 100],"b)*",Taulukko1[Kokonais-kesto (min)])/60</f>
        <v>0</v>
      </c>
      <c r="F70" s="84">
        <f>SUMIF(Taulukko1[SUOMI 100],"b)*",Taulukko1[Tapaamis-kerrat /lapsi])</f>
        <v>0</v>
      </c>
      <c r="G70" s="84">
        <f>SUMIF(Taulukko1[SUOMI 100],"b)*",Taulukko1[Kävijämäärä a) lapset])</f>
        <v>0</v>
      </c>
      <c r="H70" s="84">
        <f>SUMIF(Taulukko1[SUOMI 100],"b)*",Taulukko1[Kävijämäärä b) aikuiset])</f>
        <v>0</v>
      </c>
      <c r="I70" s="84">
        <f>SUMIF(Taulukko1[SUOMI 100],"b)*",Taulukko1[Kokonais-kävijämäärä])</f>
        <v>0</v>
      </c>
      <c r="J70" s="85" t="e">
        <f>AVERAGEIF(Taulukko1[SUOMI 100],"b)*",Taulukko1[Kokonais-kävijämäärä])</f>
        <v>#DIV/0!</v>
      </c>
      <c r="K70" s="84">
        <f>SUMIF(Taulukko1[SUOMI 100],"b)*",Taulukko1[Asiakaskontakti (lkm)])</f>
        <v>0</v>
      </c>
      <c r="L70" s="58" t="e">
        <f>SUMIF(Taulukko1[SUOMI 100],"b)*",Taulukko1[Asiakaskontakti (lkm)])/SUM(Taulukko1[Asiakaskontakti (lkm)])</f>
        <v>#DIV/0!</v>
      </c>
      <c r="M70" s="83" t="s">
        <v>172</v>
      </c>
    </row>
    <row r="71" spans="1:13" x14ac:dyDescent="0.25">
      <c r="B71" s="140" t="s">
        <v>177</v>
      </c>
      <c r="C71" s="131"/>
      <c r="D71" s="130"/>
      <c r="E71" s="132"/>
      <c r="F71" s="129"/>
      <c r="G71" s="129"/>
      <c r="H71" s="129"/>
      <c r="I71" s="129"/>
      <c r="J71" s="130"/>
      <c r="K71" s="129"/>
      <c r="L71" s="131"/>
    </row>
    <row r="72" spans="1:13" x14ac:dyDescent="0.25">
      <c r="A72" s="60" t="s">
        <v>175</v>
      </c>
      <c r="B72" s="85">
        <f>SUMIF(Taulukko1[TOIMINTA],"b)*",Taulukko1[Tapahtumien määrä])</f>
        <v>0</v>
      </c>
      <c r="C72" s="58" t="e">
        <f>(SUMIF(Taulukko1[TOIMINTA],"b)*",Taulukko1[Tapahtumien määrä]))/SUM(Taulukko1[Tapahtumien määrä])</f>
        <v>#DIV/0!</v>
      </c>
      <c r="D72" s="85" t="e">
        <f>AVERAGEIF(Taulukko1[TOIMINTA],"b)*",Taulukko1[Kesto (min) / tapaaminen])</f>
        <v>#DIV/0!</v>
      </c>
      <c r="E72" s="86">
        <f>SUMIF(Taulukko1[TOIMINTA],"b)*",Taulukko1[Kokonais-kesto (min)])/60</f>
        <v>0</v>
      </c>
      <c r="F72" s="84">
        <f>SUMIF(Taulukko1[TOIMINTA],"b)*",Taulukko1[Tapaamis-kerrat /lapsi])</f>
        <v>0</v>
      </c>
      <c r="G72" s="84">
        <f>SUMIF(Taulukko1[TOIMINTA],"b)*",Taulukko1[Kävijämäärä a) lapset])</f>
        <v>0</v>
      </c>
      <c r="H72" s="84">
        <f>SUMIF(Taulukko1[TOIMINTA],"b)*",Taulukko1[Kävijämäärä b) aikuiset])</f>
        <v>0</v>
      </c>
      <c r="I72" s="84">
        <f>SUMIF(Taulukko1[TOIMINTA],"b)*",Taulukko1[Kokonais-kävijämäärä])</f>
        <v>0</v>
      </c>
      <c r="J72" s="85" t="e">
        <f>AVERAGEIF(Taulukko1[TOIMINTA],"b)*",Taulukko1[Kokonais-kävijämäärä])</f>
        <v>#DIV/0!</v>
      </c>
      <c r="K72" s="84">
        <f>SUMIF(Taulukko1[TOIMINTA],"b)*",Taulukko1[Asiakaskontakti (lkm)])</f>
        <v>0</v>
      </c>
      <c r="L72" s="58" t="e">
        <f>SUMIF(Taulukko1[TOIMINTA],"b)*",Taulukko1[Asiakaskontakti (lkm)])/SUM(Taulukko1[Asiakaskontakti (lkm)])</f>
        <v>#DIV/0!</v>
      </c>
      <c r="M72" s="141" t="s">
        <v>175</v>
      </c>
    </row>
    <row r="73" spans="1:13" ht="15.75" x14ac:dyDescent="0.25">
      <c r="A73" s="67" t="s">
        <v>107</v>
      </c>
      <c r="B73" s="85">
        <f>SUMIFS(Taulukko1[Tapahtumien määrä], Taulukko1[TOIMINTA],"b)*",Taulukko1[Ikäryhmä],"a)*")</f>
        <v>0</v>
      </c>
      <c r="C73" s="58" t="e">
        <f>(SUMIFS(Taulukko1[Tapahtumien määrä], Taulukko1[TOIMINTA],"b)*",Taulukko1[Ikäryhmä],"a)*"))/SUMIF(Taulukko1[TOIMINTA],"b)*",Taulukko1[Tapahtumien määrä])</f>
        <v>#DIV/0!</v>
      </c>
      <c r="D73" s="85" t="e">
        <f>AVERAGEIFS(Taulukko1[Kesto (min) / tapaaminen],Taulukko1[TOIMINTA],"b)*",Taulukko1[Ikäryhmä],"a)*")</f>
        <v>#DIV/0!</v>
      </c>
      <c r="E73" s="86">
        <f>(SUMIFS(Taulukko1[Kokonais-kesto (min)], Taulukko1[TOIMINTA],"b)*",Taulukko1[Ikäryhmä],"a)*"))/60</f>
        <v>0</v>
      </c>
      <c r="F73" s="84">
        <f>SUMIFS(Taulukko1[Tapaamis-kerrat /lapsi], Taulukko1[TOIMINTA],"b)*",Taulukko1[Ikäryhmä],"a)*")</f>
        <v>0</v>
      </c>
      <c r="G73" s="85">
        <f>SUMIFS(Taulukko1[Kävijämäärä a) lapset], Taulukko1[TOIMINTA],"b)*",Taulukko1[Ikäryhmä],"a)*")</f>
        <v>0</v>
      </c>
      <c r="H73" s="85">
        <f>SUMIFS(Taulukko1[Kävijämäärä b) aikuiset], Taulukko1[TOIMINTA],"b)*",Taulukko1[Ikäryhmä],"a)*")</f>
        <v>0</v>
      </c>
      <c r="I73" s="85">
        <f>SUMIFS(Taulukko1[Kokonais-kävijämäärä], Taulukko1[TOIMINTA],"b)*",Taulukko1[Ikäryhmä],"a)*")</f>
        <v>0</v>
      </c>
      <c r="J73" s="85" t="e">
        <f>AVERAGEIFS(Taulukko1[Kokonais-kävijämäärä], Taulukko1[TOIMINTA],"b)*",Taulukko1[Ikäryhmä],"a)*")</f>
        <v>#DIV/0!</v>
      </c>
      <c r="K73" s="85">
        <f>SUMIFS(Taulukko1[Asiakaskontakti (lkm)], Taulukko1[TOIMINTA],"b)*",Taulukko1[Ikäryhmä],"a)*")</f>
        <v>0</v>
      </c>
      <c r="L73" s="58" t="e">
        <f>(SUMIFS(Taulukko1[Asiakaskontakti (lkm)], Taulukko1[TOIMINTA],"b)*",Taulukko1[Ikäryhmä],"a)*"))/(SUMIF(Taulukko1[TOIMINTA],"b)*",Taulukko1[Asiakaskontakti (lkm)]))</f>
        <v>#DIV/0!</v>
      </c>
      <c r="M73" s="142" t="s">
        <v>107</v>
      </c>
    </row>
    <row r="74" spans="1:13" ht="15.75" x14ac:dyDescent="0.25">
      <c r="A74" s="123" t="s">
        <v>129</v>
      </c>
      <c r="B74" s="85">
        <f>SUMIFS(Taulukko1[Tapahtumien määrä], Taulukko1[TOIMINTA],"b)*",Taulukko1[Ikäryhmä],"b)*")</f>
        <v>0</v>
      </c>
      <c r="C74" s="58" t="e">
        <f>(SUMIFS(Taulukko1[Tapahtumien määrä], Taulukko1[TOIMINTA],"b)*",Taulukko1[Ikäryhmä],"b)*"))/SUMIF(Taulukko1[TOIMINTA],"b)*",Taulukko1[Tapahtumien määrä])</f>
        <v>#DIV/0!</v>
      </c>
      <c r="D74" s="85" t="e">
        <f>AVERAGEIFS(Taulukko1[Kesto (min) / tapaaminen],Taulukko1[TOIMINTA],"b)*",Taulukko1[Ikäryhmä],"b)*")</f>
        <v>#DIV/0!</v>
      </c>
      <c r="E74" s="86">
        <f>(SUMIFS(Taulukko1[Kokonais-kesto (min)], Taulukko1[TOIMINTA],"b)*",Taulukko1[Ikäryhmä],"b)*"))/60</f>
        <v>0</v>
      </c>
      <c r="F74" s="84">
        <f>SUMIFS(Taulukko1[Tapaamis-kerrat /lapsi], Taulukko1[TOIMINTA],"b)*",Taulukko1[Ikäryhmä],"b)*")</f>
        <v>0</v>
      </c>
      <c r="G74" s="85">
        <f>SUMIFS(Taulukko1[Kävijämäärä a) lapset], Taulukko1[TOIMINTA],"b)*",Taulukko1[Ikäryhmä],"b)*")</f>
        <v>0</v>
      </c>
      <c r="H74" s="85">
        <f>SUMIFS(Taulukko1[Kävijämäärä b) aikuiset], Taulukko1[TOIMINTA],"b)*",Taulukko1[Ikäryhmä],"b)*")</f>
        <v>0</v>
      </c>
      <c r="I74" s="85">
        <f>SUMIFS(Taulukko1[Kokonais-kävijämäärä], Taulukko1[TOIMINTA],"b)*",Taulukko1[Ikäryhmä],"b)*")</f>
        <v>0</v>
      </c>
      <c r="J74" s="85" t="e">
        <f>AVERAGEIFS(Taulukko1[Kokonais-kävijämäärä], Taulukko1[TOIMINTA],"b)*",Taulukko1[Ikäryhmä],"b)*")</f>
        <v>#DIV/0!</v>
      </c>
      <c r="K74" s="85">
        <f>SUMIFS(Taulukko1[Asiakaskontakti (lkm)], Taulukko1[TOIMINTA],"b)*",Taulukko1[Ikäryhmä],"b)*")</f>
        <v>0</v>
      </c>
      <c r="L74" s="58" t="e">
        <f>(SUMIFS(Taulukko1[Asiakaskontakti (lkm)], Taulukko1[TOIMINTA],"b)*",Taulukko1[Ikäryhmä],"b)*"))/(SUMIF(Taulukko1[TOIMINTA],"b)*",Taulukko1[Asiakaskontakti (lkm)]))</f>
        <v>#DIV/0!</v>
      </c>
      <c r="M74" s="143" t="s">
        <v>129</v>
      </c>
    </row>
    <row r="75" spans="1:13" ht="15.75" x14ac:dyDescent="0.25">
      <c r="A75" s="123" t="s">
        <v>130</v>
      </c>
      <c r="B75" s="85">
        <f>SUMIFS(Taulukko1[Tapahtumien määrä], Taulukko1[TOIMINTA],"b)*",Taulukko1[Ikäryhmä],"c)*")</f>
        <v>0</v>
      </c>
      <c r="C75" s="58" t="e">
        <f>(SUMIFS(Taulukko1[Tapahtumien määrä], Taulukko1[TOIMINTA],"b)*",Taulukko1[Ikäryhmä],"c)*"))/SUMIF(Taulukko1[TOIMINTA],"b)*",Taulukko1[Tapahtumien määrä])</f>
        <v>#DIV/0!</v>
      </c>
      <c r="D75" s="85" t="e">
        <f>AVERAGEIFS(Taulukko1[Kesto (min) / tapaaminen],Taulukko1[TOIMINTA],"b)*",Taulukko1[Ikäryhmä],"c)*")</f>
        <v>#DIV/0!</v>
      </c>
      <c r="E75" s="86">
        <f>(SUMIFS(Taulukko1[Kokonais-kesto (min)], Taulukko1[TOIMINTA],"b)*",Taulukko1[Ikäryhmä],"c)*"))/60</f>
        <v>0</v>
      </c>
      <c r="F75" s="84">
        <f>SUMIFS(Taulukko1[Tapaamis-kerrat /lapsi], Taulukko1[TOIMINTA],"b)*",Taulukko1[Ikäryhmä],"c)*")</f>
        <v>0</v>
      </c>
      <c r="G75" s="85">
        <f>SUMIFS(Taulukko1[Kävijämäärä a) lapset], Taulukko1[TOIMINTA],"b)*",Taulukko1[Ikäryhmä],"c)*")</f>
        <v>0</v>
      </c>
      <c r="H75" s="85">
        <f>SUMIFS(Taulukko1[Kävijämäärä b) aikuiset], Taulukko1[TOIMINTA],"b)*",Taulukko1[Ikäryhmä],"c)*")</f>
        <v>0</v>
      </c>
      <c r="I75" s="85">
        <f>SUMIFS(Taulukko1[Kokonais-kävijämäärä], Taulukko1[TOIMINTA],"b)*",Taulukko1[Ikäryhmä],"c)*")</f>
        <v>0</v>
      </c>
      <c r="J75" s="85" t="e">
        <f>AVERAGEIFS(Taulukko1[Kokonais-kävijämäärä], Taulukko1[TOIMINTA],"b)*",Taulukko1[Ikäryhmä],"c)*")</f>
        <v>#DIV/0!</v>
      </c>
      <c r="K75" s="85">
        <f>SUMIFS(Taulukko1[Asiakaskontakti (lkm)], Taulukko1[TOIMINTA],"b)*",Taulukko1[Ikäryhmä],"c)*")</f>
        <v>0</v>
      </c>
      <c r="L75" s="58" t="e">
        <f>(SUMIFS(Taulukko1[Asiakaskontakti (lkm)], Taulukko1[TOIMINTA],"b)*",Taulukko1[Ikäryhmä],"c)*"))/(SUMIF(Taulukko1[TOIMINTA],"b)*",Taulukko1[Asiakaskontakti (lkm)]))</f>
        <v>#DIV/0!</v>
      </c>
      <c r="M75" s="143" t="s">
        <v>130</v>
      </c>
    </row>
    <row r="76" spans="1:13" ht="15.75" x14ac:dyDescent="0.25">
      <c r="A76" s="123" t="s">
        <v>131</v>
      </c>
      <c r="B76" s="85">
        <f>SUMIFS(Taulukko1[Tapahtumien määrä], Taulukko1[TOIMINTA],"b)*",Taulukko1[Ikäryhmä],"d)*")</f>
        <v>0</v>
      </c>
      <c r="C76" s="58" t="e">
        <f>(SUMIFS(Taulukko1[Tapahtumien määrä], Taulukko1[TOIMINTA],"b)*",Taulukko1[Ikäryhmä],"d)*"))/SUMIF(Taulukko1[TOIMINTA],"b)*",Taulukko1[Tapahtumien määrä])</f>
        <v>#DIV/0!</v>
      </c>
      <c r="D76" s="85" t="e">
        <f>AVERAGEIFS(Taulukko1[Kesto (min) / tapaaminen],Taulukko1[TOIMINTA],"b)*",Taulukko1[Ikäryhmä],"d)*")</f>
        <v>#DIV/0!</v>
      </c>
      <c r="E76" s="86">
        <f>(SUMIFS(Taulukko1[Kokonais-kesto (min)], Taulukko1[TOIMINTA],"b)*",Taulukko1[Ikäryhmä],"d)*"))/60</f>
        <v>0</v>
      </c>
      <c r="F76" s="84">
        <f>SUMIFS(Taulukko1[Tapaamis-kerrat /lapsi], Taulukko1[TOIMINTA],"b)*",Taulukko1[Ikäryhmä],"d)*")</f>
        <v>0</v>
      </c>
      <c r="G76" s="85">
        <f>SUMIFS(Taulukko1[Kävijämäärä a) lapset], Taulukko1[TOIMINTA],"b)*",Taulukko1[Ikäryhmä],"d)*")</f>
        <v>0</v>
      </c>
      <c r="H76" s="85">
        <f>SUMIFS(Taulukko1[Kävijämäärä b) aikuiset], Taulukko1[TOIMINTA],"b)*",Taulukko1[Ikäryhmä],"d)*")</f>
        <v>0</v>
      </c>
      <c r="I76" s="85">
        <f>SUMIFS(Taulukko1[Kokonais-kävijämäärä], Taulukko1[TOIMINTA],"b)*",Taulukko1[Ikäryhmä],"d)*")</f>
        <v>0</v>
      </c>
      <c r="J76" s="85" t="e">
        <f>AVERAGEIFS(Taulukko1[Kokonais-kävijämäärä], Taulukko1[TOIMINTA],"b)*",Taulukko1[Ikäryhmä],"d)*")</f>
        <v>#DIV/0!</v>
      </c>
      <c r="K76" s="85">
        <f>SUMIFS(Taulukko1[Asiakaskontakti (lkm)], Taulukko1[TOIMINTA],"b)*",Taulukko1[Ikäryhmä],"d)*")</f>
        <v>0</v>
      </c>
      <c r="L76" s="58" t="e">
        <f>(SUMIFS(Taulukko1[Asiakaskontakti (lkm)], Taulukko1[TOIMINTA],"b)*",Taulukko1[Ikäryhmä],"d)*"))/(SUMIF(Taulukko1[TOIMINTA],"b)*",Taulukko1[Asiakaskontakti (lkm)]))</f>
        <v>#DIV/0!</v>
      </c>
      <c r="M76" s="143" t="s">
        <v>131</v>
      </c>
    </row>
    <row r="77" spans="1:13" ht="15.75" x14ac:dyDescent="0.25">
      <c r="A77" s="67" t="s">
        <v>132</v>
      </c>
      <c r="B77" s="85">
        <f>SUMIFS(Taulukko1[Tapahtumien määrä], Taulukko1[TOIMINTA],"b)*",Taulukko1[Ikäryhmä],"e)*")</f>
        <v>0</v>
      </c>
      <c r="C77" s="58" t="e">
        <f>(SUMIFS(Taulukko1[Tapahtumien määrä], Taulukko1[TOIMINTA],"b)*",Taulukko1[Ikäryhmä],"e)*"))/SUMIF(Taulukko1[TOIMINTA],"b)*",Taulukko1[Tapahtumien määrä])</f>
        <v>#DIV/0!</v>
      </c>
      <c r="D77" s="85" t="e">
        <f>AVERAGEIFS(Taulukko1[Kesto (min) / tapaaminen],Taulukko1[TOIMINTA],"b)*",Taulukko1[Ikäryhmä],"e)*")</f>
        <v>#DIV/0!</v>
      </c>
      <c r="E77" s="86">
        <f>(SUMIFS(Taulukko1[Kokonais-kesto (min)], Taulukko1[TOIMINTA],"b)*",Taulukko1[Ikäryhmä],"e)*"))/60</f>
        <v>0</v>
      </c>
      <c r="F77" s="84">
        <f>SUMIFS(Taulukko1[Tapaamis-kerrat /lapsi], Taulukko1[TOIMINTA],"b)*",Taulukko1[Ikäryhmä],"e)*")</f>
        <v>0</v>
      </c>
      <c r="G77" s="85">
        <f>SUMIFS(Taulukko1[Kävijämäärä a) lapset], Taulukko1[TOIMINTA],"b)*",Taulukko1[Ikäryhmä],"e)*")</f>
        <v>0</v>
      </c>
      <c r="H77" s="85">
        <f>SUMIFS(Taulukko1[Kävijämäärä b) aikuiset], Taulukko1[TOIMINTA],"b)*",Taulukko1[Ikäryhmä],"e)*")</f>
        <v>0</v>
      </c>
      <c r="I77" s="85">
        <f>SUMIFS(Taulukko1[Kokonais-kävijämäärä], Taulukko1[TOIMINTA],"b)*",Taulukko1[Ikäryhmä],"e)*")</f>
        <v>0</v>
      </c>
      <c r="J77" s="85" t="e">
        <f>AVERAGEIFS(Taulukko1[Kokonais-kävijämäärä], Taulukko1[TOIMINTA],"b)*",Taulukko1[Ikäryhmä],"e)*")</f>
        <v>#DIV/0!</v>
      </c>
      <c r="K77" s="85">
        <f>SUMIFS(Taulukko1[Asiakaskontakti (lkm)], Taulukko1[TOIMINTA],"b)*",Taulukko1[Ikäryhmä],"e)*")</f>
        <v>0</v>
      </c>
      <c r="L77" s="58" t="e">
        <f>(SUMIFS(Taulukko1[Asiakaskontakti (lkm)], Taulukko1[TOIMINTA],"b)*",Taulukko1[Ikäryhmä],"e)*"))/(SUMIF(Taulukko1[TOIMINTA],"b)*",Taulukko1[Asiakaskontakti (lkm)]))</f>
        <v>#DIV/0!</v>
      </c>
      <c r="M77" s="142" t="s">
        <v>132</v>
      </c>
    </row>
    <row r="78" spans="1:13" ht="15.75" x14ac:dyDescent="0.25">
      <c r="A78" s="67" t="s">
        <v>133</v>
      </c>
      <c r="B78" s="85">
        <f>SUMIFS(Taulukko1[Tapahtumien määrä], Taulukko1[TOIMINTA],"b)*",Taulukko1[Ikäryhmä],"f)*")</f>
        <v>0</v>
      </c>
      <c r="C78" s="58" t="e">
        <f>(SUMIFS(Taulukko1[Tapahtumien määrä], Taulukko1[TOIMINTA],"b)*",Taulukko1[Ikäryhmä],"f)*"))/SUMIF(Taulukko1[TOIMINTA],"b)*",Taulukko1[Tapahtumien määrä])</f>
        <v>#DIV/0!</v>
      </c>
      <c r="D78" s="85" t="e">
        <f>AVERAGEIFS(Taulukko1[Kesto (min) / tapaaminen],Taulukko1[TOIMINTA],"b)*",Taulukko1[Ikäryhmä],"f)*")</f>
        <v>#DIV/0!</v>
      </c>
      <c r="E78" s="86">
        <f>(SUMIFS(Taulukko1[Kokonais-kesto (min)], Taulukko1[TOIMINTA],"b)*",Taulukko1[Ikäryhmä],"f)*"))/60</f>
        <v>0</v>
      </c>
      <c r="F78" s="84">
        <f>SUMIFS(Taulukko1[Tapaamis-kerrat /lapsi], Taulukko1[TOIMINTA],"b)*",Taulukko1[Ikäryhmä],"f)*")</f>
        <v>0</v>
      </c>
      <c r="G78" s="85">
        <f>SUMIFS(Taulukko1[Kävijämäärä a) lapset], Taulukko1[TOIMINTA],"b)*",Taulukko1[Ikäryhmä],"f)*")</f>
        <v>0</v>
      </c>
      <c r="H78" s="85">
        <f>SUMIFS(Taulukko1[Kävijämäärä b) aikuiset], Taulukko1[TOIMINTA],"b)*",Taulukko1[Ikäryhmä],"f)*")</f>
        <v>0</v>
      </c>
      <c r="I78" s="85">
        <f>SUMIFS(Taulukko1[Kokonais-kävijämäärä], Taulukko1[TOIMINTA],"b)*",Taulukko1[Ikäryhmä],"f)*")</f>
        <v>0</v>
      </c>
      <c r="J78" s="85" t="e">
        <f>AVERAGEIFS(Taulukko1[Kokonais-kävijämäärä], Taulukko1[TOIMINTA],"b)*",Taulukko1[Ikäryhmä],"f)*")</f>
        <v>#DIV/0!</v>
      </c>
      <c r="K78" s="85">
        <f>SUMIFS(Taulukko1[Asiakaskontakti (lkm)], Taulukko1[TOIMINTA],"b)*",Taulukko1[Ikäryhmä],"f)*")</f>
        <v>0</v>
      </c>
      <c r="L78" s="58" t="e">
        <f>(SUMIFS(Taulukko1[Asiakaskontakti (lkm)], Taulukko1[TOIMINTA],"b)*",Taulukko1[Ikäryhmä],"f)*"))/(SUMIF(Taulukko1[TOIMINTA],"b)*",Taulukko1[Asiakaskontakti (lkm)]))</f>
        <v>#DIV/0!</v>
      </c>
      <c r="M78" s="142" t="s">
        <v>133</v>
      </c>
    </row>
    <row r="79" spans="1:13" ht="15.75" x14ac:dyDescent="0.25">
      <c r="A79" s="67" t="s">
        <v>134</v>
      </c>
      <c r="B79" s="85">
        <f>SUMIFS(Taulukko1[Tapahtumien määrä], Taulukko1[TOIMINTA],"b)*",Taulukko1[Ikäryhmä],"g)*")</f>
        <v>0</v>
      </c>
      <c r="C79" s="58" t="e">
        <f>(SUMIFS(Taulukko1[Tapahtumien määrä], Taulukko1[TOIMINTA],"b)*",Taulukko1[Ikäryhmä],"g)*"))/SUMIF(Taulukko1[TOIMINTA],"b)*",Taulukko1[Tapahtumien määrä])</f>
        <v>#DIV/0!</v>
      </c>
      <c r="D79" s="85" t="e">
        <f>AVERAGEIFS(Taulukko1[Kesto (min) / tapaaminen],Taulukko1[TOIMINTA],"b)*",Taulukko1[Ikäryhmä],"g)*")</f>
        <v>#DIV/0!</v>
      </c>
      <c r="E79" s="86">
        <f>(SUMIFS(Taulukko1[Kokonais-kesto (min)], Taulukko1[TOIMINTA],"b)*",Taulukko1[Ikäryhmä],"g)*"))/60</f>
        <v>0</v>
      </c>
      <c r="F79" s="84">
        <f>SUMIFS(Taulukko1[Tapaamis-kerrat /lapsi], Taulukko1[TOIMINTA],"b)*",Taulukko1[Ikäryhmä],"g)*")</f>
        <v>0</v>
      </c>
      <c r="G79" s="85">
        <f>SUMIFS(Taulukko1[Kävijämäärä a) lapset], Taulukko1[TOIMINTA],"b)*",Taulukko1[Ikäryhmä],"g)*")</f>
        <v>0</v>
      </c>
      <c r="H79" s="85">
        <f>SUMIFS(Taulukko1[Kävijämäärä b) aikuiset], Taulukko1[TOIMINTA],"b)*",Taulukko1[Ikäryhmä],"g)*")</f>
        <v>0</v>
      </c>
      <c r="I79" s="85">
        <f>SUMIFS(Taulukko1[Kokonais-kävijämäärä], Taulukko1[TOIMINTA],"b)*",Taulukko1[Ikäryhmä],"g)*")</f>
        <v>0</v>
      </c>
      <c r="J79" s="85" t="e">
        <f>AVERAGEIFS(Taulukko1[Kokonais-kävijämäärä], Taulukko1[TOIMINTA],"b)*",Taulukko1[Ikäryhmä],"g)*")</f>
        <v>#DIV/0!</v>
      </c>
      <c r="K79" s="85">
        <f>SUMIFS(Taulukko1[Asiakaskontakti (lkm)], Taulukko1[TOIMINTA],"b)*",Taulukko1[Ikäryhmä],"g)*")</f>
        <v>0</v>
      </c>
      <c r="L79" s="58" t="e">
        <f>(SUMIFS(Taulukko1[Asiakaskontakti (lkm)], Taulukko1[TOIMINTA],"b)*",Taulukko1[Ikäryhmä],"g)*"))/(SUMIF(Taulukko1[TOIMINTA],"b)*",Taulukko1[Asiakaskontakti (lkm)]))</f>
        <v>#DIV/0!</v>
      </c>
      <c r="M79" s="142" t="s">
        <v>134</v>
      </c>
    </row>
    <row r="80" spans="1:13" ht="15.75" x14ac:dyDescent="0.25">
      <c r="A80" s="67" t="s">
        <v>135</v>
      </c>
      <c r="B80" s="85">
        <f>SUMIFS(Taulukko1[Tapahtumien määrä], Taulukko1[TOIMINTA],"b)*",Taulukko1[Ikäryhmä],"h)*")</f>
        <v>0</v>
      </c>
      <c r="C80" s="58" t="e">
        <f>(SUMIFS(Taulukko1[Tapahtumien määrä], Taulukko1[TOIMINTA],"b)*",Taulukko1[Ikäryhmä],"h)*"))/SUMIF(Taulukko1[TOIMINTA],"b)*",Taulukko1[Tapahtumien määrä])</f>
        <v>#DIV/0!</v>
      </c>
      <c r="D80" s="85" t="e">
        <f>AVERAGEIFS(Taulukko1[Kesto (min) / tapaaminen],Taulukko1[TOIMINTA],"b)*",Taulukko1[Ikäryhmä],"h)*")</f>
        <v>#DIV/0!</v>
      </c>
      <c r="E80" s="86">
        <f>(SUMIFS(Taulukko1[Kokonais-kesto (min)], Taulukko1[TOIMINTA],"b)*",Taulukko1[Ikäryhmä],"h)*"))/60</f>
        <v>0</v>
      </c>
      <c r="F80" s="84">
        <f>SUMIFS(Taulukko1[Tapaamis-kerrat /lapsi], Taulukko1[TOIMINTA],"b)*",Taulukko1[Ikäryhmä],"h)*")</f>
        <v>0</v>
      </c>
      <c r="G80" s="85">
        <f>SUMIFS(Taulukko1[Kävijämäärä a) lapset], Taulukko1[TOIMINTA],"b)*",Taulukko1[Ikäryhmä],"h)*")</f>
        <v>0</v>
      </c>
      <c r="H80" s="85">
        <f>SUMIFS(Taulukko1[Kävijämäärä b) aikuiset], Taulukko1[TOIMINTA],"b)*",Taulukko1[Ikäryhmä],"h)*")</f>
        <v>0</v>
      </c>
      <c r="I80" s="85">
        <f>SUMIFS(Taulukko1[Kokonais-kävijämäärä], Taulukko1[TOIMINTA],"b)*",Taulukko1[Ikäryhmä],"h)*")</f>
        <v>0</v>
      </c>
      <c r="J80" s="85" t="e">
        <f>AVERAGEIFS(Taulukko1[Kokonais-kävijämäärä], Taulukko1[TOIMINTA],"b)*",Taulukko1[Ikäryhmä],"h)*")</f>
        <v>#DIV/0!</v>
      </c>
      <c r="K80" s="85">
        <f>SUMIFS(Taulukko1[Asiakaskontakti (lkm)], Taulukko1[TOIMINTA],"b)*",Taulukko1[Ikäryhmä],"h)*")</f>
        <v>0</v>
      </c>
      <c r="L80" s="58" t="e">
        <f>(SUMIFS(Taulukko1[Asiakaskontakti (lkm)], Taulukko1[TOIMINTA],"b)*",Taulukko1[Ikäryhmä],"h)*"))/(SUMIF(Taulukko1[TOIMINTA],"b)*",Taulukko1[Asiakaskontakti (lkm)]))</f>
        <v>#DIV/0!</v>
      </c>
      <c r="M80" s="142" t="s">
        <v>135</v>
      </c>
    </row>
    <row r="81" spans="1:13" x14ac:dyDescent="0.25">
      <c r="A81" s="125" t="s">
        <v>136</v>
      </c>
      <c r="B81" s="85">
        <f>SUMIFS(Taulukko1[Tapahtumien määrä], Taulukko1[TOIMINTA],"b)*",Taulukko1[Ikäryhmä],"i)*")</f>
        <v>0</v>
      </c>
      <c r="C81" s="58" t="e">
        <f>(SUMIFS(Taulukko1[Tapahtumien määrä], Taulukko1[TOIMINTA],"b)*",Taulukko1[Ikäryhmä],"i)*"))/SUMIF(Taulukko1[TOIMINTA],"b)*",Taulukko1[Tapahtumien määrä])</f>
        <v>#DIV/0!</v>
      </c>
      <c r="D81" s="85" t="e">
        <f>AVERAGEIFS(Taulukko1[Kesto (min) / tapaaminen],Taulukko1[TOIMINTA],"b)*",Taulukko1[Ikäryhmä],"i)*")</f>
        <v>#DIV/0!</v>
      </c>
      <c r="E81" s="86">
        <f>(SUMIFS(Taulukko1[Kokonais-kesto (min)], Taulukko1[TOIMINTA],"b)*",Taulukko1[Ikäryhmä],"i)*"))/60</f>
        <v>0</v>
      </c>
      <c r="F81" s="84">
        <f>SUMIFS(Taulukko1[Tapaamis-kerrat /lapsi], Taulukko1[TOIMINTA],"b)*",Taulukko1[Ikäryhmä],"i)*")</f>
        <v>0</v>
      </c>
      <c r="G81" s="85">
        <f>SUMIFS(Taulukko1[Kävijämäärä a) lapset], Taulukko1[TOIMINTA],"b)*",Taulukko1[Ikäryhmä],"i)*")</f>
        <v>0</v>
      </c>
      <c r="H81" s="85">
        <f>SUMIFS(Taulukko1[Kävijämäärä b) aikuiset], Taulukko1[TOIMINTA],"b)*",Taulukko1[Ikäryhmä],"i)*")</f>
        <v>0</v>
      </c>
      <c r="I81" s="85">
        <f>SUMIFS(Taulukko1[Kokonais-kävijämäärä], Taulukko1[TOIMINTA],"b)*",Taulukko1[Ikäryhmä],"i)*")</f>
        <v>0</v>
      </c>
      <c r="J81" s="85" t="e">
        <f>AVERAGEIFS(Taulukko1[Kokonais-kävijämäärä], Taulukko1[TOIMINTA],"b)*",Taulukko1[Ikäryhmä],"i)*")</f>
        <v>#DIV/0!</v>
      </c>
      <c r="K81" s="85">
        <f>SUMIFS(Taulukko1[Asiakaskontakti (lkm)], Taulukko1[TOIMINTA],"b)*",Taulukko1[Ikäryhmä],"i)*")</f>
        <v>0</v>
      </c>
      <c r="L81" s="58" t="e">
        <f>(SUMIFS(Taulukko1[Asiakaskontakti (lkm)], Taulukko1[TOIMINTA],"b)*",Taulukko1[Ikäryhmä],"i)*"))/(SUMIF(Taulukko1[TOIMINTA],"b)*",Taulukko1[Asiakaskontakti (lkm)]))</f>
        <v>#DIV/0!</v>
      </c>
      <c r="M81" s="144" t="s">
        <v>136</v>
      </c>
    </row>
    <row r="82" spans="1:13" x14ac:dyDescent="0.25">
      <c r="A82" s="61" t="s">
        <v>140</v>
      </c>
      <c r="B82" s="85">
        <f>SUMIFS(Taulukko1[Tapahtumien määrä], Taulukko1[TOIMINTA],"b)*",Taulukko1[Ikäryhmä],"j)*")</f>
        <v>0</v>
      </c>
      <c r="C82" s="58" t="e">
        <f>(SUMIFS(Taulukko1[Tapahtumien määrä], Taulukko1[TOIMINTA],"b)*",Taulukko1[Ikäryhmä],"j)*"))/SUMIF(Taulukko1[TOIMINTA],"b)*",Taulukko1[Tapahtumien määrä])</f>
        <v>#DIV/0!</v>
      </c>
      <c r="D82" s="85" t="e">
        <f>AVERAGEIFS(Taulukko1[Kesto (min) / tapaaminen],Taulukko1[TOIMINTA],"b)*",Taulukko1[Ikäryhmä],"j)*")</f>
        <v>#DIV/0!</v>
      </c>
      <c r="E82" s="86">
        <f>(SUMIFS(Taulukko1[Kokonais-kesto (min)], Taulukko1[TOIMINTA],"b)*",Taulukko1[Ikäryhmä],"j)*"))/60</f>
        <v>0</v>
      </c>
      <c r="F82" s="84">
        <f>SUMIFS(Taulukko1[Tapaamis-kerrat /lapsi], Taulukko1[TOIMINTA],"b)*",Taulukko1[Ikäryhmä],"j)*")</f>
        <v>0</v>
      </c>
      <c r="G82" s="85">
        <f>SUMIFS(Taulukko1[Kävijämäärä a) lapset], Taulukko1[TOIMINTA],"b)*",Taulukko1[Ikäryhmä],"j)*")</f>
        <v>0</v>
      </c>
      <c r="H82" s="85">
        <f>SUMIFS(Taulukko1[Kävijämäärä b) aikuiset], Taulukko1[TOIMINTA],"b)*",Taulukko1[Ikäryhmä],"j)*")</f>
        <v>0</v>
      </c>
      <c r="I82" s="85">
        <f>SUMIFS(Taulukko1[Kokonais-kävijämäärä], Taulukko1[TOIMINTA],"b)*",Taulukko1[Ikäryhmä],"j)*")</f>
        <v>0</v>
      </c>
      <c r="J82" s="85" t="e">
        <f>AVERAGEIFS(Taulukko1[Kokonais-kävijämäärä], Taulukko1[TOIMINTA],"b)*",Taulukko1[Ikäryhmä],"j)*")</f>
        <v>#DIV/0!</v>
      </c>
      <c r="K82" s="85">
        <f>SUMIFS(Taulukko1[Asiakaskontakti (lkm)], Taulukko1[TOIMINTA],"b)*",Taulukko1[Ikäryhmä],"j)*")</f>
        <v>0</v>
      </c>
      <c r="L82" s="58" t="e">
        <f>(SUMIFS(Taulukko1[Asiakaskontakti (lkm)], Taulukko1[TOIMINTA],"b)*",Taulukko1[Ikäryhmä],"j)*"))/(SUMIF(Taulukko1[TOIMINTA],"b)*",Taulukko1[Asiakaskontakti (lkm)]))</f>
        <v>#DIV/0!</v>
      </c>
      <c r="M82" s="144" t="s">
        <v>140</v>
      </c>
    </row>
    <row r="83" spans="1:13" x14ac:dyDescent="0.25">
      <c r="A83" s="61" t="s">
        <v>137</v>
      </c>
      <c r="B83" s="85">
        <f>SUMIFS(Taulukko1[Tapahtumien määrä], Taulukko1[TOIMINTA],"b)*",Taulukko1[Ikäryhmä],"k)*")</f>
        <v>0</v>
      </c>
      <c r="C83" s="58" t="e">
        <f>(SUMIFS(Taulukko1[Tapahtumien määrä], Taulukko1[TOIMINTA],"b)*",Taulukko1[Ikäryhmä],"k)*"))/SUMIF(Taulukko1[TOIMINTA],"b)*",Taulukko1[Tapahtumien määrä])</f>
        <v>#DIV/0!</v>
      </c>
      <c r="D83" s="85" t="e">
        <f>AVERAGEIFS(Taulukko1[Kesto (min) / tapaaminen],Taulukko1[TOIMINTA],"b)*",Taulukko1[Ikäryhmä],"k)*")</f>
        <v>#DIV/0!</v>
      </c>
      <c r="E83" s="86">
        <f>(SUMIFS(Taulukko1[Kokonais-kesto (min)], Taulukko1[TOIMINTA],"b)*",Taulukko1[Ikäryhmä],"k)*"))/60</f>
        <v>0</v>
      </c>
      <c r="F83" s="84">
        <f>SUMIFS(Taulukko1[Tapaamis-kerrat /lapsi], Taulukko1[TOIMINTA],"b)*",Taulukko1[Ikäryhmä],"k)*")</f>
        <v>0</v>
      </c>
      <c r="G83" s="85">
        <f>SUMIFS(Taulukko1[Kävijämäärä a) lapset], Taulukko1[TOIMINTA],"b)*",Taulukko1[Ikäryhmä],"k)*")</f>
        <v>0</v>
      </c>
      <c r="H83" s="85">
        <f>SUMIFS(Taulukko1[Kävijämäärä b) aikuiset], Taulukko1[TOIMINTA],"b)*",Taulukko1[Ikäryhmä],"k)*")</f>
        <v>0</v>
      </c>
      <c r="I83" s="85">
        <f>SUMIFS(Taulukko1[Kokonais-kävijämäärä], Taulukko1[TOIMINTA],"b)*",Taulukko1[Ikäryhmä],"k)*")</f>
        <v>0</v>
      </c>
      <c r="J83" s="85" t="e">
        <f>AVERAGEIFS(Taulukko1[Kokonais-kävijämäärä], Taulukko1[TOIMINTA],"b)*",Taulukko1[Ikäryhmä],"k)*")</f>
        <v>#DIV/0!</v>
      </c>
      <c r="K83" s="85">
        <f>SUMIFS(Taulukko1[Asiakaskontakti (lkm)], Taulukko1[TOIMINTA],"b)*",Taulukko1[Ikäryhmä],"k)*")</f>
        <v>0</v>
      </c>
      <c r="L83" s="58" t="e">
        <f>(SUMIFS(Taulukko1[Asiakaskontakti (lkm)], Taulukko1[TOIMINTA],"b)*",Taulukko1[Ikäryhmä],"k)*"))/(SUMIF(Taulukko1[TOIMINTA],"b)*",Taulukko1[Asiakaskontakti (lkm)]))</f>
        <v>#DIV/0!</v>
      </c>
      <c r="M83" s="144" t="s">
        <v>137</v>
      </c>
    </row>
    <row r="84" spans="1:13" x14ac:dyDescent="0.25">
      <c r="A84" s="61" t="s">
        <v>138</v>
      </c>
      <c r="B84" s="85">
        <f>SUMIFS(Taulukko1[Tapahtumien määrä], Taulukko1[TOIMINTA],"b)*",Taulukko1[Ikäryhmä],"l)*")</f>
        <v>0</v>
      </c>
      <c r="C84" s="58" t="e">
        <f>(SUMIFS(Taulukko1[Tapahtumien määrä], Taulukko1[TOIMINTA],"b)*",Taulukko1[Ikäryhmä],"l)*"))/SUMIF(Taulukko1[TOIMINTA],"b)*",Taulukko1[Tapahtumien määrä])</f>
        <v>#DIV/0!</v>
      </c>
      <c r="D84" s="85" t="e">
        <f>AVERAGEIFS(Taulukko1[Kesto (min) / tapaaminen],Taulukko1[TOIMINTA],"b)*",Taulukko1[Ikäryhmä],"l)*")</f>
        <v>#DIV/0!</v>
      </c>
      <c r="E84" s="86">
        <f>(SUMIFS(Taulukko1[Kokonais-kesto (min)], Taulukko1[TOIMINTA],"b)*",Taulukko1[Ikäryhmä],"l)*"))/60</f>
        <v>0</v>
      </c>
      <c r="F84" s="84">
        <f>SUMIFS(Taulukko1[Tapaamis-kerrat /lapsi], Taulukko1[TOIMINTA],"b)*",Taulukko1[Ikäryhmä],"l)*")</f>
        <v>0</v>
      </c>
      <c r="G84" s="85">
        <f>SUMIFS(Taulukko1[Kävijämäärä a) lapset], Taulukko1[TOIMINTA],"b)*",Taulukko1[Ikäryhmä],"l)*")</f>
        <v>0</v>
      </c>
      <c r="H84" s="85">
        <f>SUMIFS(Taulukko1[Kävijämäärä b) aikuiset], Taulukko1[TOIMINTA],"b)*",Taulukko1[Ikäryhmä],"l)*")</f>
        <v>0</v>
      </c>
      <c r="I84" s="85">
        <f>SUMIFS(Taulukko1[Kokonais-kävijämäärä], Taulukko1[TOIMINTA],"b)*",Taulukko1[Ikäryhmä],"l)*")</f>
        <v>0</v>
      </c>
      <c r="J84" s="85" t="e">
        <f>AVERAGEIFS(Taulukko1[Kokonais-kävijämäärä], Taulukko1[TOIMINTA],"b)*",Taulukko1[Ikäryhmä],"l)*")</f>
        <v>#DIV/0!</v>
      </c>
      <c r="K84" s="85">
        <f>SUMIFS(Taulukko1[Asiakaskontakti (lkm)], Taulukko1[TOIMINTA],"b)*",Taulukko1[Ikäryhmä],"l)*")</f>
        <v>0</v>
      </c>
      <c r="L84" s="58" t="e">
        <f>(SUMIFS(Taulukko1[Asiakaskontakti (lkm)], Taulukko1[TOIMINTA],"b)*",Taulukko1[Ikäryhmä],"l)*"))/(SUMIF(Taulukko1[TOIMINTA],"b)*",Taulukko1[Asiakaskontakti (lkm)]))</f>
        <v>#DIV/0!</v>
      </c>
      <c r="M84" s="144" t="s">
        <v>138</v>
      </c>
    </row>
    <row r="85" spans="1:13" x14ac:dyDescent="0.25">
      <c r="A85" s="61" t="s">
        <v>139</v>
      </c>
      <c r="B85" s="85">
        <f>SUMIFS(Taulukko1[Tapahtumien määrä], Taulukko1[TOIMINTA],"b)*",Taulukko1[Ikäryhmä],"m)*")</f>
        <v>0</v>
      </c>
      <c r="C85" s="58" t="e">
        <f>(SUMIFS(Taulukko1[Tapahtumien määrä], Taulukko1[TOIMINTA],"b)*",Taulukko1[Ikäryhmä],"m)*"))/SUMIF(Taulukko1[TOIMINTA],"b)*",Taulukko1[Tapahtumien määrä])</f>
        <v>#DIV/0!</v>
      </c>
      <c r="D85" s="85" t="e">
        <f>AVERAGEIFS(Taulukko1[Kesto (min) / tapaaminen],Taulukko1[TOIMINTA],"b)*",Taulukko1[Ikäryhmä],"m)*")</f>
        <v>#DIV/0!</v>
      </c>
      <c r="E85" s="86">
        <f>(SUMIFS(Taulukko1[Kokonais-kesto (min)], Taulukko1[TOIMINTA],"b)*",Taulukko1[Ikäryhmä],"m)*"))/60</f>
        <v>0</v>
      </c>
      <c r="F85" s="84">
        <f>SUMIFS(Taulukko1[Tapaamis-kerrat /lapsi], Taulukko1[TOIMINTA],"b)*",Taulukko1[Ikäryhmä],"m)*")</f>
        <v>0</v>
      </c>
      <c r="G85" s="85">
        <f>SUMIFS(Taulukko1[Kävijämäärä a) lapset], Taulukko1[TOIMINTA],"b)*",Taulukko1[Ikäryhmä],"m)*")</f>
        <v>0</v>
      </c>
      <c r="H85" s="85">
        <f>SUMIFS(Taulukko1[Kävijämäärä b) aikuiset], Taulukko1[TOIMINTA],"b)*",Taulukko1[Ikäryhmä],"m)*")</f>
        <v>0</v>
      </c>
      <c r="I85" s="85">
        <f>SUMIFS(Taulukko1[Kokonais-kävijämäärä], Taulukko1[TOIMINTA],"b)*",Taulukko1[Ikäryhmä],"m)*")</f>
        <v>0</v>
      </c>
      <c r="J85" s="85" t="e">
        <f>AVERAGEIFS(Taulukko1[Kokonais-kävijämäärä], Taulukko1[TOIMINTA],"b)*",Taulukko1[Ikäryhmä],"m)*")</f>
        <v>#DIV/0!</v>
      </c>
      <c r="K85" s="85">
        <f>SUMIFS(Taulukko1[Asiakaskontakti (lkm)], Taulukko1[TOIMINTA],"b)*",Taulukko1[Ikäryhmä],"m)*")</f>
        <v>0</v>
      </c>
      <c r="L85" s="58" t="e">
        <f>(SUMIFS(Taulukko1[Asiakaskontakti (lkm)], Taulukko1[TOIMINTA],"b)*",Taulukko1[Ikäryhmä],"m)*"))/(SUMIF(Taulukko1[TOIMINTA],"b)*",Taulukko1[Asiakaskontakti (lkm)]))</f>
        <v>#DIV/0!</v>
      </c>
      <c r="M85" s="144" t="s">
        <v>139</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pane ySplit="1" topLeftCell="A2" activePane="bottomLeft" state="frozen"/>
      <selection pane="bottomLeft" activeCell="B2" sqref="B2:M6"/>
    </sheetView>
  </sheetViews>
  <sheetFormatPr defaultRowHeight="15" x14ac:dyDescent="0.25"/>
  <cols>
    <col min="1" max="1" width="20.85546875" style="30" customWidth="1"/>
    <col min="2" max="2" width="29.140625" style="30" customWidth="1"/>
    <col min="3" max="3" width="22.28515625" style="30" customWidth="1"/>
    <col min="4" max="4" width="16.140625" style="30" customWidth="1"/>
    <col min="5" max="5" width="30.28515625" style="30" customWidth="1"/>
    <col min="6" max="13" width="16.140625" style="30" customWidth="1"/>
    <col min="14" max="16384" width="9.140625" style="30"/>
  </cols>
  <sheetData>
    <row r="1" spans="1:13" s="29" customFormat="1" ht="12.75" x14ac:dyDescent="0.2">
      <c r="A1" s="28" t="s">
        <v>82</v>
      </c>
      <c r="B1" s="28" t="s">
        <v>67</v>
      </c>
      <c r="C1" s="28" t="s">
        <v>68</v>
      </c>
      <c r="D1" s="28" t="s">
        <v>69</v>
      </c>
      <c r="E1" s="28" t="s">
        <v>70</v>
      </c>
      <c r="F1" s="28" t="s">
        <v>71</v>
      </c>
      <c r="G1" s="28" t="s">
        <v>72</v>
      </c>
      <c r="H1" s="28" t="s">
        <v>73</v>
      </c>
      <c r="I1" s="28" t="s">
        <v>74</v>
      </c>
      <c r="J1" s="28" t="s">
        <v>75</v>
      </c>
      <c r="K1" s="28" t="s">
        <v>76</v>
      </c>
      <c r="L1" s="28" t="s">
        <v>77</v>
      </c>
      <c r="M1" s="28" t="s">
        <v>78</v>
      </c>
    </row>
    <row r="2" spans="1:13" s="29" customFormat="1" ht="129.75" customHeight="1" x14ac:dyDescent="0.2">
      <c r="A2" s="54" t="s">
        <v>95</v>
      </c>
      <c r="B2" s="159" t="s">
        <v>180</v>
      </c>
      <c r="C2" s="159" t="s">
        <v>79</v>
      </c>
      <c r="D2" s="159" t="s">
        <v>79</v>
      </c>
      <c r="E2" s="159" t="s">
        <v>181</v>
      </c>
      <c r="F2" s="159" t="s">
        <v>79</v>
      </c>
      <c r="G2" s="159" t="s">
        <v>182</v>
      </c>
      <c r="H2" s="159" t="s">
        <v>79</v>
      </c>
      <c r="I2" s="159" t="s">
        <v>79</v>
      </c>
      <c r="J2" s="159" t="s">
        <v>79</v>
      </c>
      <c r="K2" s="159" t="s">
        <v>183</v>
      </c>
      <c r="L2" s="159" t="s">
        <v>79</v>
      </c>
      <c r="M2" s="159" t="s">
        <v>79</v>
      </c>
    </row>
    <row r="3" spans="1:13" s="29" customFormat="1" ht="25.5" x14ac:dyDescent="0.2">
      <c r="A3" s="55" t="s">
        <v>80</v>
      </c>
      <c r="B3" s="160"/>
      <c r="C3" s="160"/>
      <c r="D3" s="160"/>
      <c r="E3" s="161"/>
      <c r="F3" s="161"/>
      <c r="G3" s="160"/>
      <c r="H3" s="160"/>
      <c r="I3" s="160"/>
      <c r="J3" s="160"/>
      <c r="K3" s="160"/>
      <c r="L3" s="160"/>
      <c r="M3" s="160"/>
    </row>
    <row r="4" spans="1:13" s="29" customFormat="1" ht="54" customHeight="1" x14ac:dyDescent="0.2">
      <c r="A4" s="56" t="s">
        <v>83</v>
      </c>
      <c r="B4" s="159"/>
      <c r="C4" s="159" t="s">
        <v>81</v>
      </c>
      <c r="D4" s="162"/>
      <c r="E4" s="159" t="s">
        <v>184</v>
      </c>
      <c r="F4" s="159" t="s">
        <v>120</v>
      </c>
      <c r="G4" s="159"/>
      <c r="H4" s="159"/>
      <c r="I4" s="159"/>
      <c r="J4" s="159"/>
      <c r="K4" s="159"/>
      <c r="L4" s="159"/>
      <c r="M4" s="159"/>
    </row>
    <row r="5" spans="1:13" s="29" customFormat="1" ht="38.25" x14ac:dyDescent="0.2">
      <c r="A5" s="55" t="s">
        <v>84</v>
      </c>
      <c r="B5" s="160"/>
      <c r="C5" s="163" t="s">
        <v>185</v>
      </c>
      <c r="D5" s="160"/>
      <c r="E5" s="160"/>
      <c r="F5" s="160"/>
      <c r="G5" s="160"/>
      <c r="H5" s="160"/>
      <c r="I5" s="160"/>
      <c r="J5" s="160"/>
      <c r="K5" s="160"/>
      <c r="L5" s="160"/>
      <c r="M5" s="160"/>
    </row>
    <row r="6" spans="1:13" s="29" customFormat="1" ht="51" x14ac:dyDescent="0.2">
      <c r="A6" s="56" t="s">
        <v>85</v>
      </c>
      <c r="B6" s="159"/>
      <c r="C6" s="159"/>
      <c r="D6" s="159"/>
      <c r="E6" s="159"/>
      <c r="F6" s="159" t="s">
        <v>119</v>
      </c>
      <c r="G6" s="159"/>
      <c r="H6" s="159"/>
      <c r="I6" s="159"/>
      <c r="J6" s="159"/>
      <c r="K6" s="159"/>
      <c r="L6" s="159"/>
      <c r="M6" s="15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4"/>
  <sheetViews>
    <sheetView workbookViewId="0">
      <selection activeCell="K274" sqref="A1:K274"/>
    </sheetView>
  </sheetViews>
  <sheetFormatPr defaultRowHeight="15" x14ac:dyDescent="0.25"/>
  <cols>
    <col min="1" max="1" width="24.42578125" customWidth="1"/>
    <col min="2" max="3" width="9.140625" customWidth="1"/>
  </cols>
  <sheetData>
    <row r="1" spans="1:5" x14ac:dyDescent="0.25">
      <c r="A1" s="165" t="s">
        <v>186</v>
      </c>
      <c r="B1" s="165"/>
      <c r="C1" s="165"/>
    </row>
    <row r="2" spans="1:5" ht="18.75" x14ac:dyDescent="0.3">
      <c r="A2" s="168" t="s">
        <v>187</v>
      </c>
      <c r="B2" s="168"/>
      <c r="C2" s="168"/>
      <c r="D2" s="168"/>
      <c r="E2" s="168"/>
    </row>
    <row r="3" spans="1:5" ht="18.75" x14ac:dyDescent="0.3">
      <c r="A3" s="169">
        <v>2017</v>
      </c>
    </row>
    <row r="6" spans="1:5" x14ac:dyDescent="0.25">
      <c r="A6" s="165" t="s">
        <v>188</v>
      </c>
      <c r="B6" s="165"/>
      <c r="C6" s="165"/>
      <c r="D6" s="165"/>
    </row>
    <row r="7" spans="1:5" x14ac:dyDescent="0.25">
      <c r="A7" t="s">
        <v>189</v>
      </c>
    </row>
    <row r="9" spans="1:5" x14ac:dyDescent="0.25">
      <c r="A9" t="s">
        <v>190</v>
      </c>
    </row>
    <row r="11" spans="1:5" s="158" customFormat="1" x14ac:dyDescent="0.25">
      <c r="A11" s="158" t="s">
        <v>241</v>
      </c>
    </row>
    <row r="13" spans="1:5" ht="15.75" x14ac:dyDescent="0.25">
      <c r="A13" s="166" t="s">
        <v>191</v>
      </c>
      <c r="B13" s="166"/>
      <c r="C13" s="166"/>
      <c r="D13" s="166"/>
    </row>
    <row r="16" spans="1:5" x14ac:dyDescent="0.25">
      <c r="A16" t="s">
        <v>238</v>
      </c>
    </row>
    <row r="18" spans="1:1" x14ac:dyDescent="0.25">
      <c r="A18" t="s">
        <v>239</v>
      </c>
    </row>
    <row r="20" spans="1:1" x14ac:dyDescent="0.25">
      <c r="A20" t="s">
        <v>240</v>
      </c>
    </row>
    <row r="22" spans="1:1" x14ac:dyDescent="0.25">
      <c r="A22" t="s">
        <v>218</v>
      </c>
    </row>
    <row r="24" spans="1:1" x14ac:dyDescent="0.25">
      <c r="A24" t="s">
        <v>219</v>
      </c>
    </row>
    <row r="26" spans="1:1" x14ac:dyDescent="0.25">
      <c r="A26" t="s">
        <v>192</v>
      </c>
    </row>
    <row r="28" spans="1:1" x14ac:dyDescent="0.25">
      <c r="A28" t="s">
        <v>220</v>
      </c>
    </row>
    <row r="30" spans="1:1" x14ac:dyDescent="0.25">
      <c r="A30" t="s">
        <v>193</v>
      </c>
    </row>
    <row r="32" spans="1:1" x14ac:dyDescent="0.25">
      <c r="A32" t="s">
        <v>276</v>
      </c>
    </row>
    <row r="36" spans="1:1" x14ac:dyDescent="0.25">
      <c r="A36" t="s">
        <v>242</v>
      </c>
    </row>
    <row r="39" spans="1:1" x14ac:dyDescent="0.25">
      <c r="A39" t="s">
        <v>243</v>
      </c>
    </row>
    <row r="42" spans="1:1" x14ac:dyDescent="0.25">
      <c r="A42" t="s">
        <v>244</v>
      </c>
    </row>
    <row r="44" spans="1:1" x14ac:dyDescent="0.25">
      <c r="A44" t="s">
        <v>245</v>
      </c>
    </row>
    <row r="45" spans="1:1" x14ac:dyDescent="0.25">
      <c r="A45" t="s">
        <v>246</v>
      </c>
    </row>
    <row r="46" spans="1:1" x14ac:dyDescent="0.25">
      <c r="A46" t="s">
        <v>247</v>
      </c>
    </row>
    <row r="47" spans="1:1" x14ac:dyDescent="0.25">
      <c r="A47" t="s">
        <v>248</v>
      </c>
    </row>
    <row r="50" spans="1:1" x14ac:dyDescent="0.25">
      <c r="A50" t="s">
        <v>249</v>
      </c>
    </row>
    <row r="52" spans="1:1" x14ac:dyDescent="0.25">
      <c r="A52" t="s">
        <v>250</v>
      </c>
    </row>
    <row r="53" spans="1:1" x14ac:dyDescent="0.25">
      <c r="A53" t="s">
        <v>251</v>
      </c>
    </row>
    <row r="54" spans="1:1" x14ac:dyDescent="0.25">
      <c r="A54" t="s">
        <v>252</v>
      </c>
    </row>
    <row r="55" spans="1:1" x14ac:dyDescent="0.25">
      <c r="A55" t="s">
        <v>253</v>
      </c>
    </row>
    <row r="56" spans="1:1" x14ac:dyDescent="0.25">
      <c r="A56" t="s">
        <v>254</v>
      </c>
    </row>
    <row r="57" spans="1:1" x14ac:dyDescent="0.25">
      <c r="A57" t="s">
        <v>255</v>
      </c>
    </row>
    <row r="58" spans="1:1" x14ac:dyDescent="0.25">
      <c r="A58" t="s">
        <v>256</v>
      </c>
    </row>
    <row r="59" spans="1:1" x14ac:dyDescent="0.25">
      <c r="A59" t="s">
        <v>257</v>
      </c>
    </row>
    <row r="60" spans="1:1" x14ac:dyDescent="0.25">
      <c r="A60" t="s">
        <v>258</v>
      </c>
    </row>
    <row r="61" spans="1:1" x14ac:dyDescent="0.25">
      <c r="A61" t="s">
        <v>259</v>
      </c>
    </row>
    <row r="64" spans="1:1" x14ac:dyDescent="0.25">
      <c r="A64" t="s">
        <v>260</v>
      </c>
    </row>
    <row r="66" spans="1:1" x14ac:dyDescent="0.25">
      <c r="A66" t="s">
        <v>261</v>
      </c>
    </row>
    <row r="67" spans="1:1" x14ac:dyDescent="0.25">
      <c r="A67" t="s">
        <v>262</v>
      </c>
    </row>
    <row r="68" spans="1:1" x14ac:dyDescent="0.25">
      <c r="A68" t="s">
        <v>263</v>
      </c>
    </row>
    <row r="69" spans="1:1" x14ac:dyDescent="0.25">
      <c r="A69" t="s">
        <v>264</v>
      </c>
    </row>
    <row r="70" spans="1:1" x14ac:dyDescent="0.25">
      <c r="A70" t="s">
        <v>265</v>
      </c>
    </row>
    <row r="71" spans="1:1" x14ac:dyDescent="0.25">
      <c r="A71" t="s">
        <v>266</v>
      </c>
    </row>
    <row r="72" spans="1:1" x14ac:dyDescent="0.25">
      <c r="A72" t="s">
        <v>267</v>
      </c>
    </row>
    <row r="75" spans="1:1" x14ac:dyDescent="0.25">
      <c r="A75" t="s">
        <v>268</v>
      </c>
    </row>
    <row r="77" spans="1:1" x14ac:dyDescent="0.25">
      <c r="A77" t="s">
        <v>269</v>
      </c>
    </row>
    <row r="78" spans="1:1" x14ac:dyDescent="0.25">
      <c r="A78" t="s">
        <v>270</v>
      </c>
    </row>
    <row r="79" spans="1:1" x14ac:dyDescent="0.25">
      <c r="A79" t="s">
        <v>271</v>
      </c>
    </row>
    <row r="80" spans="1:1" x14ac:dyDescent="0.25">
      <c r="A80" t="s">
        <v>272</v>
      </c>
    </row>
    <row r="83" spans="1:1" x14ac:dyDescent="0.25">
      <c r="A83" t="s">
        <v>273</v>
      </c>
    </row>
    <row r="86" spans="1:1" x14ac:dyDescent="0.25">
      <c r="A86" t="s">
        <v>274</v>
      </c>
    </row>
    <row r="88" spans="1:1" x14ac:dyDescent="0.25">
      <c r="A88" t="s">
        <v>275</v>
      </c>
    </row>
    <row r="89" spans="1:1" x14ac:dyDescent="0.25">
      <c r="A89" t="s">
        <v>277</v>
      </c>
    </row>
    <row r="90" spans="1:1" x14ac:dyDescent="0.25">
      <c r="A90" t="s">
        <v>278</v>
      </c>
    </row>
    <row r="91" spans="1:1" x14ac:dyDescent="0.25">
      <c r="A91" t="s">
        <v>279</v>
      </c>
    </row>
    <row r="92" spans="1:1" x14ac:dyDescent="0.25">
      <c r="A92" t="s">
        <v>280</v>
      </c>
    </row>
    <row r="93" spans="1:1" x14ac:dyDescent="0.25">
      <c r="A93" t="s">
        <v>281</v>
      </c>
    </row>
    <row r="94" spans="1:1" x14ac:dyDescent="0.25">
      <c r="A94" t="s">
        <v>282</v>
      </c>
    </row>
    <row r="95" spans="1:1" x14ac:dyDescent="0.25">
      <c r="A95" t="s">
        <v>283</v>
      </c>
    </row>
    <row r="96" spans="1:1" x14ac:dyDescent="0.25">
      <c r="A96" t="s">
        <v>284</v>
      </c>
    </row>
    <row r="97" spans="1:1" x14ac:dyDescent="0.25">
      <c r="A97" t="s">
        <v>285</v>
      </c>
    </row>
    <row r="98" spans="1:1" x14ac:dyDescent="0.25">
      <c r="A98" t="s">
        <v>286</v>
      </c>
    </row>
    <row r="99" spans="1:1" x14ac:dyDescent="0.25">
      <c r="A99" t="s">
        <v>287</v>
      </c>
    </row>
    <row r="100" spans="1:1" x14ac:dyDescent="0.25">
      <c r="A100" t="s">
        <v>288</v>
      </c>
    </row>
    <row r="103" spans="1:1" x14ac:dyDescent="0.25">
      <c r="A103" t="s">
        <v>289</v>
      </c>
    </row>
    <row r="104" spans="1:1" x14ac:dyDescent="0.25">
      <c r="A104" t="s">
        <v>290</v>
      </c>
    </row>
    <row r="105" spans="1:1" x14ac:dyDescent="0.25">
      <c r="A105" t="s">
        <v>291</v>
      </c>
    </row>
    <row r="108" spans="1:1" x14ac:dyDescent="0.25">
      <c r="A108" t="s">
        <v>292</v>
      </c>
    </row>
    <row r="111" spans="1:1" x14ac:dyDescent="0.25">
      <c r="A111" t="s">
        <v>293</v>
      </c>
    </row>
    <row r="113" spans="1:1" x14ac:dyDescent="0.25">
      <c r="A113" t="s">
        <v>221</v>
      </c>
    </row>
    <row r="116" spans="1:1" x14ac:dyDescent="0.25">
      <c r="A116" t="s">
        <v>222</v>
      </c>
    </row>
    <row r="119" spans="1:1" x14ac:dyDescent="0.25">
      <c r="A119" t="s">
        <v>223</v>
      </c>
    </row>
    <row r="122" spans="1:1" x14ac:dyDescent="0.25">
      <c r="A122" t="s">
        <v>224</v>
      </c>
    </row>
    <row r="123" spans="1:1" x14ac:dyDescent="0.25">
      <c r="A123" t="s">
        <v>194</v>
      </c>
    </row>
    <row r="125" spans="1:1" x14ac:dyDescent="0.25">
      <c r="A125" t="s">
        <v>225</v>
      </c>
    </row>
    <row r="126" spans="1:1" x14ac:dyDescent="0.25">
      <c r="A126" t="s">
        <v>226</v>
      </c>
    </row>
    <row r="129" spans="1:1" x14ac:dyDescent="0.25">
      <c r="A129" t="s">
        <v>237</v>
      </c>
    </row>
    <row r="132" spans="1:1" x14ac:dyDescent="0.25">
      <c r="A132" t="s">
        <v>236</v>
      </c>
    </row>
    <row r="135" spans="1:1" x14ac:dyDescent="0.25">
      <c r="A135" t="s">
        <v>235</v>
      </c>
    </row>
    <row r="137" spans="1:1" x14ac:dyDescent="0.25">
      <c r="A137" t="s">
        <v>294</v>
      </c>
    </row>
    <row r="138" spans="1:1" x14ac:dyDescent="0.25">
      <c r="A138" t="s">
        <v>295</v>
      </c>
    </row>
    <row r="139" spans="1:1" x14ac:dyDescent="0.25">
      <c r="A139" t="s">
        <v>296</v>
      </c>
    </row>
    <row r="142" spans="1:1" x14ac:dyDescent="0.25">
      <c r="A142" t="s">
        <v>297</v>
      </c>
    </row>
    <row r="143" spans="1:1" x14ac:dyDescent="0.25">
      <c r="A143" t="s">
        <v>195</v>
      </c>
    </row>
    <row r="145" spans="1:1" x14ac:dyDescent="0.25">
      <c r="A145" s="165" t="s">
        <v>196</v>
      </c>
    </row>
    <row r="146" spans="1:1" x14ac:dyDescent="0.25">
      <c r="A146" s="165" t="s">
        <v>197</v>
      </c>
    </row>
    <row r="147" spans="1:1" x14ac:dyDescent="0.25">
      <c r="A147" s="165" t="s">
        <v>198</v>
      </c>
    </row>
    <row r="148" spans="1:1" x14ac:dyDescent="0.25">
      <c r="A148" s="165" t="s">
        <v>199</v>
      </c>
    </row>
    <row r="149" spans="1:1" x14ac:dyDescent="0.25">
      <c r="A149" s="165" t="s">
        <v>200</v>
      </c>
    </row>
    <row r="150" spans="1:1" x14ac:dyDescent="0.25">
      <c r="A150" s="165" t="s">
        <v>201</v>
      </c>
    </row>
    <row r="151" spans="1:1" x14ac:dyDescent="0.25">
      <c r="A151" s="165" t="s">
        <v>202</v>
      </c>
    </row>
    <row r="155" spans="1:1" x14ac:dyDescent="0.25">
      <c r="A155" t="s">
        <v>298</v>
      </c>
    </row>
    <row r="156" spans="1:1" x14ac:dyDescent="0.25">
      <c r="A156" t="s">
        <v>203</v>
      </c>
    </row>
    <row r="158" spans="1:1" x14ac:dyDescent="0.25">
      <c r="A158" t="s">
        <v>299</v>
      </c>
    </row>
    <row r="159" spans="1:1" x14ac:dyDescent="0.25">
      <c r="A159" t="s">
        <v>300</v>
      </c>
    </row>
    <row r="160" spans="1:1" x14ac:dyDescent="0.25">
      <c r="A160" t="s">
        <v>301</v>
      </c>
    </row>
    <row r="161" spans="1:4" x14ac:dyDescent="0.25">
      <c r="A161" s="165" t="s">
        <v>227</v>
      </c>
    </row>
    <row r="162" spans="1:4" x14ac:dyDescent="0.25">
      <c r="A162" s="165" t="s">
        <v>228</v>
      </c>
    </row>
    <row r="163" spans="1:4" x14ac:dyDescent="0.25">
      <c r="A163" s="165" t="s">
        <v>229</v>
      </c>
    </row>
    <row r="164" spans="1:4" x14ac:dyDescent="0.25">
      <c r="A164" s="165" t="s">
        <v>230</v>
      </c>
    </row>
    <row r="165" spans="1:4" x14ac:dyDescent="0.25">
      <c r="A165" s="165" t="s">
        <v>231</v>
      </c>
    </row>
    <row r="167" spans="1:4" x14ac:dyDescent="0.25">
      <c r="A167" t="s">
        <v>302</v>
      </c>
    </row>
    <row r="168" spans="1:4" x14ac:dyDescent="0.25">
      <c r="A168" t="s">
        <v>204</v>
      </c>
    </row>
    <row r="171" spans="1:4" ht="18.75" x14ac:dyDescent="0.3">
      <c r="A171" s="171" t="s">
        <v>205</v>
      </c>
      <c r="B171" s="172"/>
      <c r="C171" s="172"/>
      <c r="D171" s="172"/>
    </row>
    <row r="173" spans="1:4" x14ac:dyDescent="0.25">
      <c r="A173" t="s">
        <v>303</v>
      </c>
    </row>
    <row r="176" spans="1:4" ht="15.75" x14ac:dyDescent="0.25">
      <c r="A176" s="173" t="s">
        <v>232</v>
      </c>
      <c r="B176" s="167"/>
      <c r="C176" s="167"/>
      <c r="D176" s="167"/>
    </row>
    <row r="178" spans="1:1" x14ac:dyDescent="0.25">
      <c r="A178" t="s">
        <v>304</v>
      </c>
    </row>
    <row r="179" spans="1:1" x14ac:dyDescent="0.25">
      <c r="A179" t="s">
        <v>206</v>
      </c>
    </row>
    <row r="180" spans="1:1" x14ac:dyDescent="0.25">
      <c r="A180" t="s">
        <v>207</v>
      </c>
    </row>
    <row r="182" spans="1:1" x14ac:dyDescent="0.25">
      <c r="A182" t="s">
        <v>208</v>
      </c>
    </row>
    <row r="184" spans="1:1" x14ac:dyDescent="0.25">
      <c r="A184" t="s">
        <v>209</v>
      </c>
    </row>
    <row r="186" spans="1:1" x14ac:dyDescent="0.25">
      <c r="A186" t="s">
        <v>305</v>
      </c>
    </row>
    <row r="187" spans="1:1" x14ac:dyDescent="0.25">
      <c r="A187" t="s">
        <v>306</v>
      </c>
    </row>
    <row r="188" spans="1:1" x14ac:dyDescent="0.25">
      <c r="A188" t="s">
        <v>307</v>
      </c>
    </row>
    <row r="191" spans="1:1" x14ac:dyDescent="0.25">
      <c r="A191" t="s">
        <v>308</v>
      </c>
    </row>
    <row r="193" spans="1:1" x14ac:dyDescent="0.25">
      <c r="A193" t="s">
        <v>309</v>
      </c>
    </row>
    <row r="194" spans="1:1" x14ac:dyDescent="0.25">
      <c r="A194" t="s">
        <v>310</v>
      </c>
    </row>
    <row r="195" spans="1:1" x14ac:dyDescent="0.25">
      <c r="A195" t="s">
        <v>311</v>
      </c>
    </row>
    <row r="198" spans="1:1" x14ac:dyDescent="0.25">
      <c r="A198" t="s">
        <v>312</v>
      </c>
    </row>
    <row r="200" spans="1:1" x14ac:dyDescent="0.25">
      <c r="A200" s="165" t="s">
        <v>210</v>
      </c>
    </row>
    <row r="201" spans="1:1" x14ac:dyDescent="0.25">
      <c r="A201" s="165" t="s">
        <v>233</v>
      </c>
    </row>
    <row r="202" spans="1:1" x14ac:dyDescent="0.25">
      <c r="A202" s="165" t="s">
        <v>211</v>
      </c>
    </row>
    <row r="205" spans="1:1" x14ac:dyDescent="0.25">
      <c r="A205" t="s">
        <v>313</v>
      </c>
    </row>
    <row r="207" spans="1:1" x14ac:dyDescent="0.25">
      <c r="A207" t="s">
        <v>314</v>
      </c>
    </row>
    <row r="208" spans="1:1" x14ac:dyDescent="0.25">
      <c r="A208" t="s">
        <v>315</v>
      </c>
    </row>
    <row r="211" spans="1:1" x14ac:dyDescent="0.25">
      <c r="A211" t="s">
        <v>316</v>
      </c>
    </row>
    <row r="213" spans="1:1" x14ac:dyDescent="0.25">
      <c r="A213" t="s">
        <v>317</v>
      </c>
    </row>
    <row r="214" spans="1:1" x14ac:dyDescent="0.25">
      <c r="A214" t="s">
        <v>318</v>
      </c>
    </row>
    <row r="215" spans="1:1" x14ac:dyDescent="0.25">
      <c r="A215" t="s">
        <v>319</v>
      </c>
    </row>
    <row r="216" spans="1:1" x14ac:dyDescent="0.25">
      <c r="A216" t="s">
        <v>320</v>
      </c>
    </row>
    <row r="217" spans="1:1" x14ac:dyDescent="0.25">
      <c r="A217" t="s">
        <v>321</v>
      </c>
    </row>
    <row r="220" spans="1:1" x14ac:dyDescent="0.25">
      <c r="A220" t="s">
        <v>322</v>
      </c>
    </row>
    <row r="222" spans="1:1" x14ac:dyDescent="0.25">
      <c r="A222" t="s">
        <v>323</v>
      </c>
    </row>
    <row r="223" spans="1:1" x14ac:dyDescent="0.25">
      <c r="A223" t="s">
        <v>324</v>
      </c>
    </row>
    <row r="224" spans="1:1" x14ac:dyDescent="0.25">
      <c r="A224" t="s">
        <v>325</v>
      </c>
    </row>
    <row r="227" spans="1:1" x14ac:dyDescent="0.25">
      <c r="A227" t="s">
        <v>326</v>
      </c>
    </row>
    <row r="230" spans="1:1" x14ac:dyDescent="0.25">
      <c r="A230" t="s">
        <v>327</v>
      </c>
    </row>
    <row r="232" spans="1:1" x14ac:dyDescent="0.25">
      <c r="A232" t="s">
        <v>328</v>
      </c>
    </row>
    <row r="233" spans="1:1" x14ac:dyDescent="0.25">
      <c r="A233" t="s">
        <v>329</v>
      </c>
    </row>
    <row r="234" spans="1:1" x14ac:dyDescent="0.25">
      <c r="A234" t="s">
        <v>330</v>
      </c>
    </row>
    <row r="235" spans="1:1" x14ac:dyDescent="0.25">
      <c r="A235" t="s">
        <v>331</v>
      </c>
    </row>
    <row r="238" spans="1:1" x14ac:dyDescent="0.25">
      <c r="A238" s="165" t="s">
        <v>234</v>
      </c>
    </row>
    <row r="239" spans="1:1" x14ac:dyDescent="0.25">
      <c r="A239" s="165" t="s">
        <v>212</v>
      </c>
    </row>
    <row r="240" spans="1:1" x14ac:dyDescent="0.25">
      <c r="A240" s="165" t="s">
        <v>213</v>
      </c>
    </row>
    <row r="242" spans="1:2" x14ac:dyDescent="0.25">
      <c r="A242" t="s">
        <v>332</v>
      </c>
    </row>
    <row r="243" spans="1:2" x14ac:dyDescent="0.25">
      <c r="A243" t="s">
        <v>333</v>
      </c>
    </row>
    <row r="244" spans="1:2" x14ac:dyDescent="0.25">
      <c r="A244" t="s">
        <v>334</v>
      </c>
    </row>
    <row r="245" spans="1:2" x14ac:dyDescent="0.25">
      <c r="A245" t="s">
        <v>335</v>
      </c>
    </row>
    <row r="246" spans="1:2" x14ac:dyDescent="0.25">
      <c r="A246" t="s">
        <v>336</v>
      </c>
    </row>
    <row r="247" spans="1:2" x14ac:dyDescent="0.25">
      <c r="A247" t="s">
        <v>337</v>
      </c>
    </row>
    <row r="248" spans="1:2" s="158" customFormat="1" x14ac:dyDescent="0.25"/>
    <row r="249" spans="1:2" s="158" customFormat="1" x14ac:dyDescent="0.25"/>
    <row r="250" spans="1:2" ht="18.75" x14ac:dyDescent="0.3">
      <c r="A250" s="171" t="s">
        <v>214</v>
      </c>
      <c r="B250" s="170"/>
    </row>
    <row r="252" spans="1:2" x14ac:dyDescent="0.25">
      <c r="A252" t="s">
        <v>215</v>
      </c>
    </row>
    <row r="253" spans="1:2" x14ac:dyDescent="0.25">
      <c r="A253" t="s">
        <v>216</v>
      </c>
    </row>
    <row r="255" spans="1:2" ht="18.75" x14ac:dyDescent="0.3">
      <c r="A255" s="171" t="s">
        <v>217</v>
      </c>
    </row>
    <row r="257" spans="1:1" x14ac:dyDescent="0.25">
      <c r="A257" t="s">
        <v>338</v>
      </c>
    </row>
    <row r="259" spans="1:1" x14ac:dyDescent="0.25">
      <c r="A259" t="s">
        <v>339</v>
      </c>
    </row>
    <row r="262" spans="1:1" x14ac:dyDescent="0.25">
      <c r="A262" t="s">
        <v>340</v>
      </c>
    </row>
    <row r="263" spans="1:1" x14ac:dyDescent="0.25">
      <c r="A263" t="s">
        <v>341</v>
      </c>
    </row>
    <row r="264" spans="1:1" x14ac:dyDescent="0.25">
      <c r="A264" t="s">
        <v>342</v>
      </c>
    </row>
    <row r="265" spans="1:1" x14ac:dyDescent="0.25">
      <c r="A265" t="s">
        <v>343</v>
      </c>
    </row>
    <row r="266" spans="1:1" x14ac:dyDescent="0.25">
      <c r="A266" t="s">
        <v>344</v>
      </c>
    </row>
    <row r="267" spans="1:1" x14ac:dyDescent="0.25">
      <c r="A267" t="s">
        <v>345</v>
      </c>
    </row>
    <row r="268" spans="1:1" x14ac:dyDescent="0.25">
      <c r="A268" t="s">
        <v>346</v>
      </c>
    </row>
    <row r="269" spans="1:1" x14ac:dyDescent="0.25">
      <c r="A269" t="s">
        <v>347</v>
      </c>
    </row>
    <row r="270" spans="1:1" x14ac:dyDescent="0.25">
      <c r="A270" t="s">
        <v>348</v>
      </c>
    </row>
    <row r="271" spans="1:1" x14ac:dyDescent="0.25">
      <c r="A271" t="s">
        <v>349</v>
      </c>
    </row>
    <row r="272" spans="1:1" x14ac:dyDescent="0.25">
      <c r="A272" t="s">
        <v>350</v>
      </c>
    </row>
    <row r="274" spans="1:1" x14ac:dyDescent="0.25">
      <c r="A274"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vt:i4>
      </vt:variant>
    </vt:vector>
  </HeadingPairs>
  <TitlesOfParts>
    <vt:vector size="6" baseType="lpstr">
      <vt:lpstr>TOIMINTATIETOLOMAKE</vt:lpstr>
      <vt:lpstr>PERUSTIETOLOMAKE</vt:lpstr>
      <vt:lpstr>YHTEENVETO koko toiminta</vt:lpstr>
      <vt:lpstr>VUOSIKELLO</vt:lpstr>
      <vt:lpstr>OHJEET JA MÄÄRITELMÄT</vt:lpstr>
      <vt:lpstr>'OHJEET JA MÄÄRITELMÄT'!_GoBack</vt:lpstr>
    </vt:vector>
  </TitlesOfParts>
  <Company>Hämeenlinnan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Herranen Noora</dc:creator>
  <cp:lastModifiedBy>Elina</cp:lastModifiedBy>
  <dcterms:created xsi:type="dcterms:W3CDTF">2016-02-09T07:26:49Z</dcterms:created>
  <dcterms:modified xsi:type="dcterms:W3CDTF">2017-03-16T13:31:44Z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